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EMRTs\00-EMRT2.1\"/>
    </mc:Choice>
  </mc:AlternateContent>
  <xr:revisionPtr revIDLastSave="0" documentId="8_{06BDB0E2-49E0-4EC5-843A-DEC9BF0D7AC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7340" yWindow="-15330" windowWidth="27330" windowHeight="1413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s="1"/>
  <c r="P18" i="4"/>
  <c r="Q19" i="4"/>
  <c r="R19" i="4" s="1"/>
  <c r="P21" i="4"/>
  <c r="P20" i="4"/>
  <c r="Q20" i="4"/>
  <c r="P17" i="4"/>
  <c r="P16" i="4"/>
  <c r="Q17" i="4"/>
  <c r="Q16" i="4"/>
  <c r="P15" i="4"/>
  <c r="Q15" i="4"/>
  <c r="R15" i="4" s="1"/>
  <c r="P14" i="4"/>
  <c r="Q14" i="4" s="1"/>
  <c r="P13" i="4"/>
  <c r="Q12" i="4" s="1"/>
  <c r="R12" i="4" s="1"/>
  <c r="P12" i="4"/>
  <c r="Q13"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c r="S21" i="4"/>
  <c r="T21" i="4" s="1"/>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G17" i="6" s="1"/>
  <c r="B15" i="6"/>
  <c r="B13" i="6"/>
  <c r="G13" i="6" s="1"/>
  <c r="H13" i="6" s="1"/>
  <c r="D13" i="6" s="1"/>
  <c r="B12" i="6"/>
  <c r="B11" i="6"/>
  <c r="G11" i="6" s="1"/>
  <c r="H11" i="6" s="1"/>
  <c r="D11" i="6" s="1"/>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S43" i="4"/>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V13" i="5"/>
  <c r="E13" i="5"/>
  <c r="X13" i="5" s="1"/>
  <c r="V14" i="5"/>
  <c r="E14" i="5"/>
  <c r="V15" i="5"/>
  <c r="E15" i="5"/>
  <c r="X15" i="5" s="1"/>
  <c r="V16" i="5"/>
  <c r="E16" i="5"/>
  <c r="X16" i="5" s="1"/>
  <c r="V17" i="5"/>
  <c r="E17" i="5"/>
  <c r="X17" i="5" s="1"/>
  <c r="V18" i="5"/>
  <c r="E18" i="5"/>
  <c r="X18" i="5" s="1"/>
  <c r="V19" i="5"/>
  <c r="E19" i="5"/>
  <c r="X19" i="5" s="1"/>
  <c r="V20" i="5"/>
  <c r="E20" i="5"/>
  <c r="V21" i="5"/>
  <c r="E21" i="5"/>
  <c r="X21" i="5" s="1"/>
  <c r="V22" i="5"/>
  <c r="E22" i="5"/>
  <c r="X22" i="5" s="1"/>
  <c r="V23" i="5"/>
  <c r="E23" i="5"/>
  <c r="X23" i="5" s="1"/>
  <c r="V24" i="5"/>
  <c r="E24" i="5"/>
  <c r="X24" i="5" s="1"/>
  <c r="V25" i="5"/>
  <c r="E25" i="5"/>
  <c r="V26" i="5"/>
  <c r="E26" i="5"/>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V98" i="5"/>
  <c r="E98" i="5"/>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V134" i="5"/>
  <c r="E134" i="5"/>
  <c r="X134" i="5" s="1"/>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V188" i="5"/>
  <c r="E188" i="5"/>
  <c r="V189" i="5"/>
  <c r="E189" i="5"/>
  <c r="X189" i="5" s="1"/>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X216" i="5" s="1"/>
  <c r="V217" i="5"/>
  <c r="E217" i="5"/>
  <c r="V218" i="5"/>
  <c r="E218" i="5"/>
  <c r="V219" i="5"/>
  <c r="E219" i="5"/>
  <c r="X219" i="5" s="1"/>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V290" i="5"/>
  <c r="E290" i="5"/>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V380" i="5"/>
  <c r="E380" i="5"/>
  <c r="V381" i="5"/>
  <c r="E381" i="5"/>
  <c r="X381" i="5" s="1"/>
  <c r="V382" i="5"/>
  <c r="E382" i="5"/>
  <c r="X382" i="5" s="1"/>
  <c r="V383" i="5"/>
  <c r="E383" i="5"/>
  <c r="X383" i="5" s="1"/>
  <c r="V384" i="5"/>
  <c r="E384" i="5"/>
  <c r="X384" i="5" s="1"/>
  <c r="V385" i="5"/>
  <c r="E385" i="5"/>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V398" i="5"/>
  <c r="E398" i="5"/>
  <c r="X398" i="5" s="1"/>
  <c r="V399" i="5"/>
  <c r="E399" i="5"/>
  <c r="X399" i="5" s="1"/>
  <c r="V400" i="5"/>
  <c r="E400" i="5"/>
  <c r="X400" i="5" s="1"/>
  <c r="V401" i="5"/>
  <c r="E401" i="5"/>
  <c r="X401" i="5" s="1"/>
  <c r="V402" i="5"/>
  <c r="E402" i="5"/>
  <c r="X402" i="5" s="1"/>
  <c r="V403" i="5"/>
  <c r="E403" i="5"/>
  <c r="V404" i="5"/>
  <c r="E404" i="5"/>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V458" i="5"/>
  <c r="E458" i="5"/>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V476" i="5"/>
  <c r="E476" i="5"/>
  <c r="V477" i="5"/>
  <c r="E477" i="5"/>
  <c r="X477" i="5" s="1"/>
  <c r="V478" i="5"/>
  <c r="E478" i="5"/>
  <c r="X478" i="5" s="1"/>
  <c r="V479" i="5"/>
  <c r="E479" i="5"/>
  <c r="X479" i="5" s="1"/>
  <c r="V480" i="5"/>
  <c r="E480" i="5"/>
  <c r="X480" i="5" s="1"/>
  <c r="V481" i="5"/>
  <c r="E481" i="5"/>
  <c r="V482" i="5"/>
  <c r="E482" i="5"/>
  <c r="V483" i="5"/>
  <c r="E483" i="5"/>
  <c r="X483" i="5" s="1"/>
  <c r="V484" i="5"/>
  <c r="E484" i="5"/>
  <c r="X484" i="5" s="1"/>
  <c r="V485" i="5"/>
  <c r="E485" i="5"/>
  <c r="X485" i="5" s="1"/>
  <c r="V486" i="5"/>
  <c r="E486" i="5"/>
  <c r="X486" i="5" s="1"/>
  <c r="V487" i="5"/>
  <c r="E487" i="5"/>
  <c r="V488" i="5"/>
  <c r="E488" i="5"/>
  <c r="X488" i="5" s="1"/>
  <c r="V489" i="5"/>
  <c r="E489" i="5"/>
  <c r="X489" i="5" s="1"/>
  <c r="V490" i="5"/>
  <c r="E490" i="5"/>
  <c r="X490" i="5" s="1"/>
  <c r="V491" i="5"/>
  <c r="E491" i="5"/>
  <c r="X491" i="5" s="1"/>
  <c r="V492" i="5"/>
  <c r="E492" i="5"/>
  <c r="X492" i="5" s="1"/>
  <c r="V493" i="5"/>
  <c r="E493" i="5"/>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V638" i="5"/>
  <c r="E638" i="5"/>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V729" i="5"/>
  <c r="E729" i="5"/>
  <c r="X729" i="5" s="1"/>
  <c r="V730" i="5"/>
  <c r="E730" i="5"/>
  <c r="X730" i="5" s="1"/>
  <c r="V731" i="5"/>
  <c r="E731" i="5"/>
  <c r="X731" i="5" s="1"/>
  <c r="V732" i="5"/>
  <c r="E732" i="5"/>
  <c r="X732" i="5" s="1"/>
  <c r="V733" i="5"/>
  <c r="E733" i="5"/>
  <c r="X733" i="5" s="1"/>
  <c r="V734" i="5"/>
  <c r="E734" i="5"/>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V782" i="5"/>
  <c r="E782" i="5"/>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V800" i="5"/>
  <c r="E800" i="5"/>
  <c r="V801" i="5"/>
  <c r="E801" i="5"/>
  <c r="X801" i="5" s="1"/>
  <c r="V802" i="5"/>
  <c r="E802" i="5"/>
  <c r="X802" i="5" s="1"/>
  <c r="V803" i="5"/>
  <c r="E803" i="5"/>
  <c r="X803" i="5" s="1"/>
  <c r="V804" i="5"/>
  <c r="E804" i="5"/>
  <c r="X804" i="5" s="1"/>
  <c r="V805" i="5"/>
  <c r="E805" i="5"/>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V837" i="5"/>
  <c r="E837" i="5"/>
  <c r="X837" i="5" s="1"/>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V890" i="5"/>
  <c r="E890" i="5"/>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V908" i="5"/>
  <c r="E908" i="5"/>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V1046" i="5"/>
  <c r="E1046" i="5"/>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V1070" i="5"/>
  <c r="E1070" i="5"/>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X1109" i="5" s="1"/>
  <c r="V1110" i="5"/>
  <c r="E1110" i="5"/>
  <c r="X1110" i="5" s="1"/>
  <c r="V1111" i="5"/>
  <c r="E1111" i="5"/>
  <c r="V1112" i="5"/>
  <c r="E1112" i="5"/>
  <c r="V1113" i="5"/>
  <c r="E1113" i="5"/>
  <c r="X1113" i="5" s="1"/>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V1136" i="5"/>
  <c r="E1136" i="5"/>
  <c r="V1137" i="5"/>
  <c r="E1137" i="5"/>
  <c r="X1137" i="5" s="1"/>
  <c r="V1138" i="5"/>
  <c r="E1138" i="5"/>
  <c r="X1138" i="5" s="1"/>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V1275" i="5"/>
  <c r="E1275" i="5"/>
  <c r="X1275" i="5" s="1"/>
  <c r="V1276" i="5"/>
  <c r="E1276" i="5"/>
  <c r="X1276" i="5" s="1"/>
  <c r="V1277" i="5"/>
  <c r="E1277" i="5"/>
  <c r="X1277" i="5" s="1"/>
  <c r="V1278" i="5"/>
  <c r="E1278" i="5"/>
  <c r="X1278" i="5" s="1"/>
  <c r="V1279" i="5"/>
  <c r="E1279" i="5"/>
  <c r="V1280" i="5"/>
  <c r="E1280" i="5"/>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V1340" i="5"/>
  <c r="E1340" i="5"/>
  <c r="V1341" i="5"/>
  <c r="E1341" i="5"/>
  <c r="X1341" i="5" s="1"/>
  <c r="V1342" i="5"/>
  <c r="E1342" i="5"/>
  <c r="X1342" i="5" s="1"/>
  <c r="V1343" i="5"/>
  <c r="E1343" i="5"/>
  <c r="X1343" i="5" s="1"/>
  <c r="V1344" i="5"/>
  <c r="E1344" i="5"/>
  <c r="X1344" i="5" s="1"/>
  <c r="V1345" i="5"/>
  <c r="E1345" i="5"/>
  <c r="V1346" i="5"/>
  <c r="E1346" i="5"/>
  <c r="V1347" i="5"/>
  <c r="E1347" i="5"/>
  <c r="X1347" i="5" s="1"/>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X1355" i="5" s="1"/>
  <c r="V1356" i="5"/>
  <c r="E1356" i="5"/>
  <c r="X1356" i="5" s="1"/>
  <c r="V1357" i="5"/>
  <c r="E1357" i="5"/>
  <c r="V1358" i="5"/>
  <c r="E1358" i="5"/>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X1530" i="5" s="1"/>
  <c r="V1531" i="5"/>
  <c r="E1531" i="5"/>
  <c r="V1532" i="5"/>
  <c r="E1532" i="5"/>
  <c r="V1533" i="5"/>
  <c r="E1533" i="5"/>
  <c r="X1533" i="5" s="1"/>
  <c r="V1534" i="5"/>
  <c r="E1534" i="5"/>
  <c r="X1534" i="5" s="1"/>
  <c r="V1535" i="5"/>
  <c r="E1535" i="5"/>
  <c r="X1535" i="5" s="1"/>
  <c r="V1536" i="5"/>
  <c r="E1536" i="5"/>
  <c r="X1536" i="5" s="1"/>
  <c r="V1537" i="5"/>
  <c r="E1537" i="5"/>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V1988" i="5"/>
  <c r="E1988" i="5"/>
  <c r="V1989" i="5"/>
  <c r="E1989" i="5"/>
  <c r="X1989" i="5" s="1"/>
  <c r="V1990" i="5"/>
  <c r="E1990" i="5"/>
  <c r="X1990" i="5" s="1"/>
  <c r="V1991" i="5"/>
  <c r="E1991" i="5"/>
  <c r="X1991" i="5" s="1"/>
  <c r="V1992" i="5"/>
  <c r="E1992" i="5"/>
  <c r="X1992" i="5" s="1"/>
  <c r="V1993" i="5"/>
  <c r="E1993" i="5"/>
  <c r="V1994" i="5"/>
  <c r="E1994" i="5"/>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V2036" i="5"/>
  <c r="E2036" i="5"/>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V2306" i="5"/>
  <c r="E2306" i="5"/>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V2318" i="5"/>
  <c r="E2318" i="5"/>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V2354" i="5"/>
  <c r="E2354" i="5"/>
  <c r="V2355" i="5"/>
  <c r="E2355" i="5"/>
  <c r="X2355" i="5" s="1"/>
  <c r="V2356" i="5"/>
  <c r="E2356" i="5"/>
  <c r="X2356" i="5" s="1"/>
  <c r="V2357" i="5"/>
  <c r="E2357" i="5"/>
  <c r="X2357" i="5" s="1"/>
  <c r="V2358" i="5"/>
  <c r="E2358" i="5"/>
  <c r="X2358" i="5" s="1"/>
  <c r="V2359" i="5"/>
  <c r="E2359" i="5"/>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V2426" i="5"/>
  <c r="E2426" i="5"/>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X2493" i="5" s="1"/>
  <c r="V2494" i="5"/>
  <c r="E2494" i="5"/>
  <c r="X2494" i="5" s="1"/>
  <c r="V2495" i="5"/>
  <c r="E2495" i="5"/>
  <c r="X2495" i="5" s="1"/>
  <c r="V2496" i="5"/>
  <c r="E2496" i="5"/>
  <c r="X2496" i="5" s="1"/>
  <c r="V2497" i="5"/>
  <c r="E2497" i="5"/>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5" i="6"/>
  <c r="G96" i="6"/>
  <c r="G98" i="6"/>
  <c r="G99" i="6"/>
  <c r="G108" i="6"/>
  <c r="G109" i="6"/>
  <c r="G110" i="6"/>
  <c r="G111" i="6"/>
  <c r="G10" i="6"/>
  <c r="H10" i="6"/>
  <c r="D10" i="6" s="1"/>
  <c r="G5" i="6"/>
  <c r="H5" i="6" s="1"/>
  <c r="F6" i="6"/>
  <c r="G6" i="6"/>
  <c r="H6" i="6"/>
  <c r="G12" i="6"/>
  <c r="H12" i="6"/>
  <c r="D12" i="6" s="1"/>
  <c r="H14" i="6"/>
  <c r="G15" i="6"/>
  <c r="H15" i="6"/>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0" i="5"/>
  <c r="X25" i="5"/>
  <c r="X26" i="5"/>
  <c r="X68" i="5"/>
  <c r="X79" i="5"/>
  <c r="X92" i="5"/>
  <c r="X97" i="5"/>
  <c r="X98" i="5"/>
  <c r="X115" i="5"/>
  <c r="X133" i="5"/>
  <c r="X140" i="5"/>
  <c r="X146" i="5"/>
  <c r="X171" i="5"/>
  <c r="X187" i="5"/>
  <c r="X188" i="5"/>
  <c r="X194" i="5"/>
  <c r="X205" i="5"/>
  <c r="X212" i="5"/>
  <c r="X217" i="5"/>
  <c r="X218" i="5"/>
  <c r="X223" i="5"/>
  <c r="X236" i="5"/>
  <c r="X253" i="5"/>
  <c r="X260" i="5"/>
  <c r="X271" i="5"/>
  <c r="X284" i="5"/>
  <c r="X289" i="5"/>
  <c r="X290" i="5"/>
  <c r="X314" i="5"/>
  <c r="X325" i="5"/>
  <c r="X343" i="5"/>
  <c r="X344" i="5"/>
  <c r="X355" i="5"/>
  <c r="X361" i="5"/>
  <c r="X379" i="5"/>
  <c r="X380" i="5"/>
  <c r="X385" i="5"/>
  <c r="X397" i="5"/>
  <c r="X403" i="5"/>
  <c r="X404" i="5"/>
  <c r="X410" i="5"/>
  <c r="X415" i="5"/>
  <c r="X421" i="5"/>
  <c r="X427" i="5"/>
  <c r="X434" i="5"/>
  <c r="X439" i="5"/>
  <c r="X445" i="5"/>
  <c r="X452" i="5"/>
  <c r="X457" i="5"/>
  <c r="X458" i="5"/>
  <c r="X463" i="5"/>
  <c r="X469" i="5"/>
  <c r="X475" i="5"/>
  <c r="X476" i="5"/>
  <c r="X481" i="5"/>
  <c r="X482" i="5"/>
  <c r="X487" i="5"/>
  <c r="X493" i="5"/>
  <c r="X494" i="5"/>
  <c r="X505" i="5"/>
  <c r="X511" i="5"/>
  <c r="X523" i="5"/>
  <c r="X529" i="5"/>
  <c r="X535" i="5"/>
  <c r="X547" i="5"/>
  <c r="X553" i="5"/>
  <c r="X571" i="5"/>
  <c r="X589" i="5"/>
  <c r="X595" i="5"/>
  <c r="X607" i="5"/>
  <c r="X613" i="5"/>
  <c r="X614" i="5"/>
  <c r="X619" i="5"/>
  <c r="X631" i="5"/>
  <c r="X637" i="5"/>
  <c r="X638" i="5"/>
  <c r="X649" i="5"/>
  <c r="X655" i="5"/>
  <c r="X661" i="5"/>
  <c r="X667" i="5"/>
  <c r="X679" i="5"/>
  <c r="X680" i="5"/>
  <c r="X697" i="5"/>
  <c r="X703" i="5"/>
  <c r="X704" i="5"/>
  <c r="X710" i="5"/>
  <c r="X716" i="5"/>
  <c r="X728" i="5"/>
  <c r="X734" i="5"/>
  <c r="X740" i="5"/>
  <c r="X745" i="5"/>
  <c r="X752" i="5"/>
  <c r="X763" i="5"/>
  <c r="X776" i="5"/>
  <c r="X781" i="5"/>
  <c r="X782" i="5"/>
  <c r="X787" i="5"/>
  <c r="X793" i="5"/>
  <c r="X799" i="5"/>
  <c r="X800" i="5"/>
  <c r="X805" i="5"/>
  <c r="X817" i="5"/>
  <c r="X818" i="5"/>
  <c r="X824" i="5"/>
  <c r="X835" i="5"/>
  <c r="X836" i="5"/>
  <c r="X841" i="5"/>
  <c r="X842" i="5"/>
  <c r="X847" i="5"/>
  <c r="X859" i="5"/>
  <c r="X865" i="5"/>
  <c r="X872" i="5"/>
  <c r="X877" i="5"/>
  <c r="X883" i="5"/>
  <c r="X889" i="5"/>
  <c r="X890" i="5"/>
  <c r="X895" i="5"/>
  <c r="X901" i="5"/>
  <c r="X907" i="5"/>
  <c r="X908" i="5"/>
  <c r="X913" i="5"/>
  <c r="X925" i="5"/>
  <c r="X931" i="5"/>
  <c r="X937" i="5"/>
  <c r="X943" i="5"/>
  <c r="X955" i="5"/>
  <c r="X962" i="5"/>
  <c r="X973" i="5"/>
  <c r="X974" i="5"/>
  <c r="X991" i="5"/>
  <c r="X1004" i="5"/>
  <c r="X1009" i="5"/>
  <c r="X1015" i="5"/>
  <c r="X1027" i="5"/>
  <c r="X1028" i="5"/>
  <c r="X1033" i="5"/>
  <c r="X1045" i="5"/>
  <c r="X1046" i="5"/>
  <c r="X1051" i="5"/>
  <c r="X1057" i="5"/>
  <c r="X1069" i="5"/>
  <c r="X1070" i="5"/>
  <c r="X1075" i="5"/>
  <c r="X1087" i="5"/>
  <c r="X1093" i="5"/>
  <c r="X1099" i="5"/>
  <c r="X1105" i="5"/>
  <c r="X1111" i="5"/>
  <c r="X1112" i="5"/>
  <c r="X1117" i="5"/>
  <c r="X1124" i="5"/>
  <c r="X1129" i="5"/>
  <c r="X1135" i="5"/>
  <c r="X1136" i="5"/>
  <c r="X1142" i="5"/>
  <c r="X1147" i="5"/>
  <c r="X1153" i="5"/>
  <c r="X1165" i="5"/>
  <c r="X1183" i="5"/>
  <c r="X1201" i="5"/>
  <c r="X1202" i="5"/>
  <c r="X1219" i="5"/>
  <c r="X1226" i="5"/>
  <c r="X1237" i="5"/>
  <c r="X1250" i="5"/>
  <c r="X1255" i="5"/>
  <c r="X1261" i="5"/>
  <c r="X1273" i="5"/>
  <c r="X1274" i="5"/>
  <c r="X1279" i="5"/>
  <c r="X1280" i="5"/>
  <c r="X1285" i="5"/>
  <c r="X1291" i="5"/>
  <c r="X1303" i="5"/>
  <c r="X1309" i="5"/>
  <c r="X1315" i="5"/>
  <c r="X1321" i="5"/>
  <c r="X1333" i="5"/>
  <c r="X1339" i="5"/>
  <c r="X1340" i="5"/>
  <c r="X1345" i="5"/>
  <c r="X1346" i="5"/>
  <c r="X1351" i="5"/>
  <c r="X1357" i="5"/>
  <c r="X1358" i="5"/>
  <c r="X1369" i="5"/>
  <c r="X1375" i="5"/>
  <c r="X1381" i="5"/>
  <c r="X1393" i="5"/>
  <c r="X1400" i="5"/>
  <c r="X1406" i="5"/>
  <c r="X1411" i="5"/>
  <c r="X1424" i="5"/>
  <c r="X1429" i="5"/>
  <c r="X1435" i="5"/>
  <c r="X1441" i="5"/>
  <c r="X1447" i="5"/>
  <c r="X1454" i="5"/>
  <c r="X1459" i="5"/>
  <c r="X1472" i="5"/>
  <c r="X1477" i="5"/>
  <c r="X1495" i="5"/>
  <c r="X1496" i="5"/>
  <c r="X1502" i="5"/>
  <c r="X1513" i="5"/>
  <c r="X1525" i="5"/>
  <c r="X1531" i="5"/>
  <c r="X1532" i="5"/>
  <c r="X1537" i="5"/>
  <c r="X1549" i="5"/>
  <c r="X1556" i="5"/>
  <c r="X1562" i="5"/>
  <c r="X1567" i="5"/>
  <c r="X1579" i="5"/>
  <c r="X1585" i="5"/>
  <c r="X1597" i="5"/>
  <c r="X1598" i="5"/>
  <c r="X1610" i="5"/>
  <c r="X1615" i="5"/>
  <c r="X1628" i="5"/>
  <c r="X1633" i="5"/>
  <c r="X1651" i="5"/>
  <c r="X1657" i="5"/>
  <c r="X1669" i="5"/>
  <c r="X1675" i="5"/>
  <c r="X1687" i="5"/>
  <c r="X1688" i="5"/>
  <c r="X1693" i="5"/>
  <c r="X1705" i="5"/>
  <c r="X1711" i="5"/>
  <c r="X1712" i="5"/>
  <c r="X1718" i="5"/>
  <c r="X1723" i="5"/>
  <c r="X1730" i="5"/>
  <c r="X1741" i="5"/>
  <c r="X1747" i="5"/>
  <c r="X1753" i="5"/>
  <c r="X1765" i="5"/>
  <c r="X1771" i="5"/>
  <c r="X1778" i="5"/>
  <c r="X1783" i="5"/>
  <c r="X1795" i="5"/>
  <c r="X1807" i="5"/>
  <c r="X1813" i="5"/>
  <c r="X1819" i="5"/>
  <c r="X1831" i="5"/>
  <c r="X1832" i="5"/>
  <c r="X1849" i="5"/>
  <c r="X1850" i="5"/>
  <c r="X1867" i="5"/>
  <c r="X1873" i="5"/>
  <c r="X1880" i="5"/>
  <c r="X1892" i="5"/>
  <c r="X1915" i="5"/>
  <c r="X1916" i="5"/>
  <c r="X1922" i="5"/>
  <c r="X1951" i="5"/>
  <c r="X1964" i="5"/>
  <c r="X1969" i="5"/>
  <c r="X1975" i="5"/>
  <c r="X1987" i="5"/>
  <c r="X1988" i="5"/>
  <c r="X1993" i="5"/>
  <c r="X1994" i="5"/>
  <c r="X1999" i="5"/>
  <c r="X2011" i="5"/>
  <c r="X2017" i="5"/>
  <c r="X2029" i="5"/>
  <c r="X2035" i="5"/>
  <c r="X2036" i="5"/>
  <c r="X2041" i="5"/>
  <c r="X2059" i="5"/>
  <c r="X2065" i="5"/>
  <c r="X2066" i="5"/>
  <c r="X2077" i="5"/>
  <c r="X2083" i="5"/>
  <c r="X2095" i="5"/>
  <c r="X2101" i="5"/>
  <c r="X2125" i="5"/>
  <c r="X2137" i="5"/>
  <c r="X2143" i="5"/>
  <c r="X2149" i="5"/>
  <c r="X2161" i="5"/>
  <c r="X2167" i="5"/>
  <c r="X2173" i="5"/>
  <c r="X2180" i="5"/>
  <c r="X2185" i="5"/>
  <c r="X2191" i="5"/>
  <c r="X2204" i="5"/>
  <c r="X2209" i="5"/>
  <c r="X2221" i="5"/>
  <c r="X2227" i="5"/>
  <c r="X2233" i="5"/>
  <c r="X2246" i="5"/>
  <c r="X2251" i="5"/>
  <c r="X2263" i="5"/>
  <c r="X2269" i="5"/>
  <c r="X2276" i="5"/>
  <c r="X2281" i="5"/>
  <c r="X2287" i="5"/>
  <c r="X2305" i="5"/>
  <c r="X2306" i="5"/>
  <c r="X2312" i="5"/>
  <c r="X2317" i="5"/>
  <c r="X2318" i="5"/>
  <c r="X2323" i="5"/>
  <c r="X2330" i="5"/>
  <c r="X2353" i="5"/>
  <c r="X2354" i="5"/>
  <c r="X2359" i="5"/>
  <c r="X2360" i="5"/>
  <c r="X2371" i="5"/>
  <c r="X2377" i="5"/>
  <c r="X2384" i="5"/>
  <c r="X2395" i="5"/>
  <c r="X2396" i="5"/>
  <c r="X2413" i="5"/>
  <c r="X2414" i="5"/>
  <c r="X2425" i="5"/>
  <c r="X2426" i="5"/>
  <c r="X2431" i="5"/>
  <c r="X2449" i="5"/>
  <c r="X2462" i="5"/>
  <c r="X2467" i="5"/>
  <c r="X2479" i="5"/>
  <c r="X2492" i="5"/>
  <c r="X2497"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T47" i="4" s="1"/>
  <c r="S49" i="4"/>
  <c r="S48" i="4"/>
  <c r="S50" i="4"/>
  <c r="S51" i="4"/>
  <c r="T51" i="4"/>
  <c r="U51" i="4" s="1"/>
  <c r="C15" i="6" l="1"/>
  <c r="C13" i="6"/>
  <c r="C12" i="6"/>
  <c r="C11" i="6"/>
  <c r="C10" i="6"/>
  <c r="C9" i="6"/>
  <c r="U21" i="4"/>
  <c r="V21" i="4" s="1"/>
  <c r="W21" i="4" s="1"/>
  <c r="X21" i="4" s="1"/>
  <c r="Y21" i="4" s="1"/>
  <c r="Z21" i="4" s="1"/>
  <c r="U20" i="4"/>
  <c r="T19" i="4"/>
  <c r="U19" i="4" s="1"/>
  <c r="S18" i="4"/>
  <c r="S19" i="4"/>
  <c r="R18" i="4"/>
  <c r="R17" i="4"/>
  <c r="X14" i="5"/>
  <c r="G124" i="6" a="1"/>
  <c r="G124" i="6" s="1"/>
  <c r="H124" i="6" s="1"/>
  <c r="T44" i="4"/>
  <c r="T50" i="4"/>
  <c r="U50" i="4" s="1"/>
  <c r="V50" i="4" s="1"/>
  <c r="R13" i="4"/>
  <c r="S13" i="4" s="1"/>
  <c r="R16" i="4"/>
  <c r="T42" i="4"/>
  <c r="U42" i="4" s="1"/>
  <c r="T48" i="4"/>
  <c r="T49" i="4"/>
  <c r="V51" i="4"/>
  <c r="W51" i="4" s="1"/>
  <c r="R14" i="4"/>
  <c r="T46" i="4"/>
  <c r="D5" i="6"/>
  <c r="C5" i="6"/>
  <c r="H112" i="6"/>
  <c r="D112" i="6" s="1"/>
  <c r="C2" i="6"/>
  <c r="C112" i="6"/>
  <c r="D4" i="6"/>
  <c r="C4" i="6"/>
  <c r="G65" i="4"/>
  <c r="G53" i="4"/>
  <c r="G89" i="4"/>
  <c r="D89" i="4"/>
  <c r="D77" i="4"/>
  <c r="D41" i="4"/>
  <c r="D65" i="4"/>
  <c r="D114" i="4"/>
  <c r="D53" i="4"/>
  <c r="G101" i="4"/>
  <c r="G114" i="4"/>
  <c r="G41" i="4"/>
  <c r="U49" i="4" l="1"/>
  <c r="V49" i="4" s="1"/>
  <c r="W49" i="4" s="1"/>
  <c r="V19" i="4"/>
  <c r="W19" i="4" s="1"/>
  <c r="V20" i="4"/>
  <c r="W20" i="4" s="1"/>
  <c r="S16" i="4"/>
  <c r="S17" i="4"/>
  <c r="S12" i="4"/>
  <c r="T12" i="4" s="1"/>
  <c r="U43" i="4"/>
  <c r="U44" i="4"/>
  <c r="U46" i="4"/>
  <c r="U45" i="4"/>
  <c r="W50" i="4"/>
  <c r="X50" i="4" s="1"/>
  <c r="S14" i="4"/>
  <c r="S15" i="4"/>
  <c r="U47" i="4"/>
  <c r="U48" i="4"/>
  <c r="X51" i="4"/>
  <c r="Y51" i="4" s="1"/>
  <c r="D124" i="6"/>
  <c r="V48" i="4" l="1"/>
  <c r="W48" i="4" s="1"/>
  <c r="X48" i="4" s="1"/>
  <c r="X19" i="4"/>
  <c r="Y19" i="4" s="1"/>
  <c r="X20" i="4"/>
  <c r="Y20" i="4" s="1"/>
  <c r="V43" i="4"/>
  <c r="V42" i="4"/>
  <c r="W42" i="4" s="1"/>
  <c r="T17" i="4"/>
  <c r="T18" i="4"/>
  <c r="U18" i="4" s="1"/>
  <c r="V18" i="4" s="1"/>
  <c r="W18" i="4" s="1"/>
  <c r="X18" i="4" s="1"/>
  <c r="Y18" i="4" s="1"/>
  <c r="Z18" i="4" s="1"/>
  <c r="X49" i="4"/>
  <c r="Y49" i="4" s="1"/>
  <c r="V45" i="4"/>
  <c r="V44" i="4"/>
  <c r="Z51" i="4"/>
  <c r="AA51" i="4" s="1"/>
  <c r="Y50" i="4"/>
  <c r="Z50" i="4" s="1"/>
  <c r="V47" i="4"/>
  <c r="V46" i="4"/>
  <c r="T15" i="4"/>
  <c r="T16" i="4"/>
  <c r="T14" i="4"/>
  <c r="T13" i="4"/>
  <c r="W47" i="4" l="1"/>
  <c r="X47" i="4" s="1"/>
  <c r="Y47" i="4" s="1"/>
  <c r="Z20" i="4"/>
  <c r="Z19" i="4"/>
  <c r="Z49" i="4"/>
  <c r="AA49" i="4"/>
  <c r="AA50" i="4"/>
  <c r="AB50" i="4" s="1"/>
  <c r="Y48" i="4"/>
  <c r="Z48" i="4" s="1"/>
  <c r="W46" i="4"/>
  <c r="W45" i="4"/>
  <c r="U15" i="4"/>
  <c r="U14" i="4"/>
  <c r="U17" i="4"/>
  <c r="V17" i="4" s="1"/>
  <c r="U16" i="4"/>
  <c r="AB51" i="4"/>
  <c r="AC51" i="4" s="1"/>
  <c r="U13" i="4"/>
  <c r="U12" i="4"/>
  <c r="V12" i="4" s="1"/>
  <c r="W43" i="4"/>
  <c r="W44" i="4"/>
  <c r="X46" i="4" l="1"/>
  <c r="Y46" i="4" s="1"/>
  <c r="Z46" i="4" s="1"/>
  <c r="AA48" i="4"/>
  <c r="AC50" i="4"/>
  <c r="AB48" i="4"/>
  <c r="AB49" i="4"/>
  <c r="AC49" i="4" s="1"/>
  <c r="X44" i="4"/>
  <c r="X45" i="4"/>
  <c r="Y45" i="4" s="1"/>
  <c r="Z47" i="4"/>
  <c r="AA47" i="4" s="1"/>
  <c r="X43" i="4"/>
  <c r="X42" i="4"/>
  <c r="Y42" i="4" s="1"/>
  <c r="V16" i="4"/>
  <c r="W16" i="4" s="1"/>
  <c r="V15" i="4"/>
  <c r="V14" i="4"/>
  <c r="V13" i="4"/>
  <c r="W17" i="4"/>
  <c r="X17" i="4" s="1"/>
  <c r="AB47" i="4" l="1"/>
  <c r="Z45" i="4"/>
  <c r="AA45" i="4" s="1"/>
  <c r="Y17" i="4"/>
  <c r="Z17" i="4" s="1"/>
  <c r="AC48" i="4"/>
  <c r="AC47" i="4"/>
  <c r="AA46" i="4"/>
  <c r="AB46" i="4" s="1"/>
  <c r="Y43" i="4"/>
  <c r="Y44" i="4"/>
  <c r="Z44" i="4" s="1"/>
  <c r="W13" i="4"/>
  <c r="W12" i="4"/>
  <c r="X12" i="4" s="1"/>
  <c r="W14" i="4"/>
  <c r="W15" i="4"/>
  <c r="X15" i="4" s="1"/>
  <c r="AA44" i="4" l="1"/>
  <c r="AB44" i="4" s="1"/>
  <c r="AC46" i="4"/>
  <c r="AB45" i="4"/>
  <c r="AC45" i="4" s="1"/>
  <c r="Z42" i="4"/>
  <c r="AA42" i="4" s="1"/>
  <c r="Z43" i="4"/>
  <c r="AA43" i="4" s="1"/>
  <c r="X13" i="4"/>
  <c r="X14" i="4"/>
  <c r="Y15" i="4" s="1"/>
  <c r="X16" i="4"/>
  <c r="Y16" i="4" s="1"/>
  <c r="AB43" i="4" l="1"/>
  <c r="AB42" i="4"/>
  <c r="AC42" i="4" s="1"/>
  <c r="AC44" i="4"/>
  <c r="AC43" i="4"/>
  <c r="Y13" i="4"/>
  <c r="Y12" i="4"/>
  <c r="Z12" i="4" s="1"/>
  <c r="Y14" i="4"/>
  <c r="Z15" i="4"/>
  <c r="Z16" i="4"/>
  <c r="AA12" i="4" l="1"/>
  <c r="Z14" i="4"/>
  <c r="Z13" i="4"/>
  <c r="AA13" i="4" s="1" a="1"/>
  <c r="AA13" i="4" s="1"/>
  <c r="B31" i="4" l="1"/>
  <c r="A115" i="6"/>
  <c r="G115" i="6" s="1"/>
  <c r="AA14" i="4" a="1"/>
  <c r="AA14" i="4" s="1"/>
  <c r="AA15" i="4" s="1" a="1"/>
  <c r="AA15" i="4" s="1"/>
  <c r="A114" i="6"/>
  <c r="G114" i="6" s="1"/>
  <c r="B30" i="4"/>
  <c r="A117" i="6" l="1"/>
  <c r="G117" i="6" s="1"/>
  <c r="B33" i="4"/>
  <c r="M31" i="4"/>
  <c r="A18" i="6"/>
  <c r="O31" i="4"/>
  <c r="B32" i="4"/>
  <c r="A116" i="6"/>
  <c r="G116" i="6" s="1"/>
  <c r="A17" i="6"/>
  <c r="O30" i="4"/>
  <c r="G7" i="6"/>
  <c r="H7" i="6" s="1"/>
  <c r="M30" i="4"/>
  <c r="AA16" i="4" a="1"/>
  <c r="AA16" i="4" s="1"/>
  <c r="AA17" i="4" s="1" a="1"/>
  <c r="AA17" i="4" s="1"/>
  <c r="B35" i="4" l="1"/>
  <c r="A119" i="6"/>
  <c r="G119" i="6" s="1"/>
  <c r="M33" i="4"/>
  <c r="O33" i="4"/>
  <c r="A20" i="6"/>
  <c r="M32" i="4"/>
  <c r="A19" i="6"/>
  <c r="O32" i="4"/>
  <c r="D7" i="6"/>
  <c r="C7" i="6"/>
  <c r="P43" i="4"/>
  <c r="B43" i="4" s="1"/>
  <c r="P55" i="4"/>
  <c r="B34" i="4"/>
  <c r="A118" i="6"/>
  <c r="G118" i="6" s="1"/>
  <c r="P54" i="4"/>
  <c r="P42" i="4"/>
  <c r="B42" i="4" s="1"/>
  <c r="F40" i="6"/>
  <c r="F29" i="6"/>
  <c r="H29" i="6" s="1"/>
  <c r="F18" i="6"/>
  <c r="H18" i="6" s="1"/>
  <c r="F39" i="6"/>
  <c r="F17" i="6"/>
  <c r="H17" i="6" s="1"/>
  <c r="F28" i="6"/>
  <c r="H28" i="6" s="1"/>
  <c r="AA18" i="4" a="1"/>
  <c r="AA18" i="4" s="1"/>
  <c r="H40" i="6" l="1"/>
  <c r="F115" i="6"/>
  <c r="H115" i="6" s="1"/>
  <c r="F51" i="6"/>
  <c r="F99" i="6"/>
  <c r="H99" i="6" s="1"/>
  <c r="P57" i="4"/>
  <c r="P45" i="4"/>
  <c r="B45" i="4" s="1"/>
  <c r="M42" i="4"/>
  <c r="A28" i="6"/>
  <c r="AA19" i="4" a="1"/>
  <c r="AA19" i="4" s="1"/>
  <c r="AA20" i="4" s="1" a="1"/>
  <c r="AA20" i="4" s="1"/>
  <c r="A29" i="6"/>
  <c r="M43" i="4"/>
  <c r="A120" i="6"/>
  <c r="B36" i="4"/>
  <c r="B121" i="4"/>
  <c r="B103" i="4"/>
  <c r="B91" i="4"/>
  <c r="B79" i="4"/>
  <c r="B55" i="4"/>
  <c r="B67" i="4"/>
  <c r="D28" i="6"/>
  <c r="C28" i="6"/>
  <c r="K114" i="6"/>
  <c r="P56" i="4"/>
  <c r="P44" i="4"/>
  <c r="B44" i="4" s="1"/>
  <c r="D17" i="6"/>
  <c r="C17" i="6"/>
  <c r="M35" i="4"/>
  <c r="O35" i="4"/>
  <c r="A22" i="6"/>
  <c r="B90" i="4"/>
  <c r="B78" i="4"/>
  <c r="B102" i="4"/>
  <c r="B66" i="4"/>
  <c r="B54" i="4"/>
  <c r="B120" i="4"/>
  <c r="F41" i="6"/>
  <c r="F19" i="6"/>
  <c r="H19" i="6" s="1"/>
  <c r="F30" i="6"/>
  <c r="H30" i="6" s="1"/>
  <c r="F98" i="6"/>
  <c r="H98" i="6" s="1"/>
  <c r="F50" i="6"/>
  <c r="H39" i="6"/>
  <c r="F114" i="6"/>
  <c r="D18" i="6"/>
  <c r="C18" i="6"/>
  <c r="K115" i="6"/>
  <c r="D29" i="6"/>
  <c r="C29" i="6"/>
  <c r="A21" i="6"/>
  <c r="M34" i="4"/>
  <c r="O34" i="4"/>
  <c r="F42" i="6"/>
  <c r="F31" i="6"/>
  <c r="H31" i="6" s="1"/>
  <c r="F20" i="6"/>
  <c r="H20" i="6" s="1"/>
  <c r="C30" i="6" l="1"/>
  <c r="D30" i="6"/>
  <c r="K116" i="6"/>
  <c r="A84" i="6"/>
  <c r="M103" i="4"/>
  <c r="B37" i="4"/>
  <c r="A121" i="6"/>
  <c r="D19" i="6"/>
  <c r="C19" i="6"/>
  <c r="A99" i="6"/>
  <c r="M121" i="4"/>
  <c r="F100" i="6"/>
  <c r="H100" i="6" s="1"/>
  <c r="F52" i="6"/>
  <c r="F116" i="6"/>
  <c r="H116" i="6" s="1"/>
  <c r="H41" i="6"/>
  <c r="A122" i="6"/>
  <c r="B38" i="4"/>
  <c r="M54" i="4"/>
  <c r="A39" i="6"/>
  <c r="M66" i="4"/>
  <c r="A50" i="6"/>
  <c r="B69" i="4"/>
  <c r="B93" i="4"/>
  <c r="B105" i="4"/>
  <c r="B123" i="4"/>
  <c r="B57" i="4"/>
  <c r="B81" i="4"/>
  <c r="M44" i="4"/>
  <c r="A30" i="6"/>
  <c r="M36" i="4"/>
  <c r="A23" i="6"/>
  <c r="O36" i="4"/>
  <c r="A98" i="6"/>
  <c r="M120" i="4"/>
  <c r="B2" i="6"/>
  <c r="H114" i="6"/>
  <c r="A83" i="6"/>
  <c r="M102" i="4"/>
  <c r="M78" i="4"/>
  <c r="A61" i="6"/>
  <c r="M67" i="4"/>
  <c r="A51" i="6"/>
  <c r="H51" i="6"/>
  <c r="F62" i="6"/>
  <c r="B104" i="4"/>
  <c r="B92" i="4"/>
  <c r="B68" i="4"/>
  <c r="B56" i="4"/>
  <c r="B122" i="4"/>
  <c r="B80" i="4"/>
  <c r="D20" i="6"/>
  <c r="C20" i="6"/>
  <c r="C31" i="6"/>
  <c r="D31" i="6"/>
  <c r="K117" i="6"/>
  <c r="D39" i="6"/>
  <c r="C39" i="6"/>
  <c r="A72" i="6"/>
  <c r="M90" i="4"/>
  <c r="M55" i="4"/>
  <c r="A40" i="6"/>
  <c r="C115" i="6"/>
  <c r="D115" i="6"/>
  <c r="F21" i="6"/>
  <c r="H21" i="6" s="1"/>
  <c r="F32" i="6"/>
  <c r="H32" i="6" s="1"/>
  <c r="F43" i="6"/>
  <c r="A31" i="6"/>
  <c r="M45" i="4"/>
  <c r="C99" i="6"/>
  <c r="D99" i="6"/>
  <c r="H42" i="6"/>
  <c r="F117" i="6"/>
  <c r="H117" i="6" s="1"/>
  <c r="F101" i="6"/>
  <c r="H101" i="6" s="1"/>
  <c r="F53" i="6"/>
  <c r="F61" i="6"/>
  <c r="H50" i="6"/>
  <c r="F33" i="6"/>
  <c r="H33" i="6" s="1"/>
  <c r="F22" i="6"/>
  <c r="H22" i="6" s="1"/>
  <c r="F44" i="6"/>
  <c r="M79" i="4"/>
  <c r="A62" i="6"/>
  <c r="C40" i="6"/>
  <c r="D40" i="6"/>
  <c r="P58" i="4"/>
  <c r="P46" i="4"/>
  <c r="B46" i="4" s="1"/>
  <c r="D98" i="6"/>
  <c r="C98" i="6"/>
  <c r="P47" i="4"/>
  <c r="B47" i="4" s="1"/>
  <c r="P59" i="4"/>
  <c r="A73" i="6"/>
  <c r="M91" i="4"/>
  <c r="AA21" i="4" a="1"/>
  <c r="AA21" i="4" s="1"/>
  <c r="AA22" i="4" s="1"/>
  <c r="AA23" i="4" s="1"/>
  <c r="Q53" i="4" l="1"/>
  <c r="Q41" i="4"/>
  <c r="B41" i="4" s="1"/>
  <c r="A27" i="6" s="1"/>
  <c r="F119" i="6"/>
  <c r="H119" i="6" s="1"/>
  <c r="F103" i="6"/>
  <c r="H103" i="6" s="1"/>
  <c r="F55" i="6"/>
  <c r="H44" i="6"/>
  <c r="H62" i="6"/>
  <c r="F73" i="6"/>
  <c r="P60" i="4"/>
  <c r="P48" i="4"/>
  <c r="B48" i="4" s="1"/>
  <c r="D50" i="6"/>
  <c r="C50" i="6"/>
  <c r="D22" i="6"/>
  <c r="C22" i="6"/>
  <c r="C51" i="6"/>
  <c r="D51" i="6"/>
  <c r="D41" i="6"/>
  <c r="C41" i="6"/>
  <c r="M37" i="4"/>
  <c r="A24" i="6"/>
  <c r="O37" i="4"/>
  <c r="B59" i="4"/>
  <c r="B83" i="4"/>
  <c r="B71" i="4"/>
  <c r="B95" i="4"/>
  <c r="B125" i="4"/>
  <c r="B107" i="4"/>
  <c r="D33" i="6"/>
  <c r="K119" i="6"/>
  <c r="C33" i="6"/>
  <c r="F102" i="6"/>
  <c r="H102" i="6" s="1"/>
  <c r="F118" i="6"/>
  <c r="H118" i="6" s="1"/>
  <c r="F54" i="6"/>
  <c r="H43" i="6"/>
  <c r="D116" i="6"/>
  <c r="C116" i="6"/>
  <c r="K118" i="6"/>
  <c r="D32" i="6"/>
  <c r="C32" i="6"/>
  <c r="A32" i="6"/>
  <c r="M46" i="4"/>
  <c r="D101" i="6"/>
  <c r="C101" i="6"/>
  <c r="M80" i="4"/>
  <c r="A63" i="6"/>
  <c r="A42" i="6"/>
  <c r="M57" i="4"/>
  <c r="D21" i="6"/>
  <c r="C21" i="6"/>
  <c r="A100" i="6"/>
  <c r="M122" i="4"/>
  <c r="C42" i="6"/>
  <c r="D42" i="6"/>
  <c r="M56" i="4"/>
  <c r="A41" i="6"/>
  <c r="D114" i="6"/>
  <c r="C114" i="6"/>
  <c r="M105" i="4"/>
  <c r="A86" i="6"/>
  <c r="A25" i="6"/>
  <c r="O38" i="4"/>
  <c r="M38" i="4"/>
  <c r="F94" i="6"/>
  <c r="A52" i="6"/>
  <c r="M68" i="4"/>
  <c r="M93" i="4"/>
  <c r="A75" i="6"/>
  <c r="H53" i="6"/>
  <c r="F64" i="6"/>
  <c r="D117" i="6"/>
  <c r="C117" i="6"/>
  <c r="M92" i="4"/>
  <c r="A74" i="6"/>
  <c r="A53" i="6"/>
  <c r="M69" i="4"/>
  <c r="M47" i="4"/>
  <c r="A33" i="6"/>
  <c r="H52" i="6"/>
  <c r="F63" i="6"/>
  <c r="H61" i="6"/>
  <c r="F72" i="6"/>
  <c r="C100" i="6"/>
  <c r="D100" i="6"/>
  <c r="M81" i="4"/>
  <c r="A64" i="6"/>
  <c r="B94" i="4"/>
  <c r="B82" i="4"/>
  <c r="B70" i="4"/>
  <c r="B124" i="4"/>
  <c r="B58" i="4"/>
  <c r="B106" i="4"/>
  <c r="A101" i="6"/>
  <c r="M123" i="4"/>
  <c r="B39" i="4"/>
  <c r="A123" i="6"/>
  <c r="M104" i="4"/>
  <c r="A85" i="6"/>
  <c r="A55" i="6" l="1"/>
  <c r="M71" i="4"/>
  <c r="C61" i="6"/>
  <c r="D61" i="6"/>
  <c r="C53" i="6"/>
  <c r="D53" i="6"/>
  <c r="H54" i="6"/>
  <c r="F65" i="6"/>
  <c r="M83" i="4"/>
  <c r="A66" i="6"/>
  <c r="H72" i="6"/>
  <c r="F83" i="6"/>
  <c r="H83" i="6" s="1"/>
  <c r="F75" i="6"/>
  <c r="H64" i="6"/>
  <c r="D43" i="6"/>
  <c r="C43" i="6"/>
  <c r="A44" i="6"/>
  <c r="M59" i="4"/>
  <c r="M48" i="4"/>
  <c r="A34" i="6"/>
  <c r="B126" i="4"/>
  <c r="B72" i="4"/>
  <c r="B84" i="4"/>
  <c r="B96" i="4"/>
  <c r="B108" i="4"/>
  <c r="B60" i="4"/>
  <c r="D118" i="6"/>
  <c r="C118" i="6"/>
  <c r="D102" i="6"/>
  <c r="C102" i="6"/>
  <c r="C44" i="6"/>
  <c r="D44" i="6"/>
  <c r="H73" i="6"/>
  <c r="F84" i="6"/>
  <c r="H84" i="6" s="1"/>
  <c r="D52" i="6"/>
  <c r="C52" i="6"/>
  <c r="D62" i="6"/>
  <c r="C62" i="6"/>
  <c r="M124" i="4"/>
  <c r="A102" i="6"/>
  <c r="A54" i="6"/>
  <c r="M70" i="4"/>
  <c r="M82" i="4"/>
  <c r="A65" i="6"/>
  <c r="D103" i="6"/>
  <c r="C103" i="6"/>
  <c r="P49" i="4"/>
  <c r="B49" i="4" s="1"/>
  <c r="P61" i="4"/>
  <c r="A87" i="6"/>
  <c r="M106" i="4"/>
  <c r="F74" i="6"/>
  <c r="H63" i="6"/>
  <c r="A43" i="6"/>
  <c r="M58" i="4"/>
  <c r="M107" i="4"/>
  <c r="A88" i="6"/>
  <c r="C119" i="6"/>
  <c r="D119" i="6"/>
  <c r="F66" i="6"/>
  <c r="H55" i="6"/>
  <c r="M39" i="4"/>
  <c r="O39" i="4"/>
  <c r="A26" i="6"/>
  <c r="F95" i="6"/>
  <c r="F110" i="6"/>
  <c r="H110" i="6" s="1"/>
  <c r="H94" i="6"/>
  <c r="F109" i="6"/>
  <c r="H109" i="6" s="1"/>
  <c r="F108" i="6"/>
  <c r="H108" i="6" s="1"/>
  <c r="F111" i="6"/>
  <c r="H111" i="6" s="1"/>
  <c r="M94" i="4"/>
  <c r="A76" i="6"/>
  <c r="P50" i="4"/>
  <c r="B50" i="4" s="1"/>
  <c r="P62" i="4"/>
  <c r="M125" i="4"/>
  <c r="A103" i="6"/>
  <c r="A77" i="6"/>
  <c r="M95" i="4"/>
  <c r="B77" i="4"/>
  <c r="A60" i="6" s="1"/>
  <c r="B117" i="4"/>
  <c r="A95" i="6" s="1"/>
  <c r="B119" i="4"/>
  <c r="A97" i="6" s="1"/>
  <c r="B131" i="4"/>
  <c r="A108" i="6" s="1"/>
  <c r="B89" i="4"/>
  <c r="A71" i="6" s="1"/>
  <c r="B133" i="4"/>
  <c r="A109" i="6" s="1"/>
  <c r="B101" i="4"/>
  <c r="A82" i="6" s="1"/>
  <c r="B135" i="4"/>
  <c r="A110" i="6" s="1"/>
  <c r="B53" i="4"/>
  <c r="A38" i="6" s="1"/>
  <c r="B137" i="4"/>
  <c r="A111" i="6" s="1"/>
  <c r="B65" i="4"/>
  <c r="A49" i="6" s="1"/>
  <c r="B115" i="4"/>
  <c r="A94" i="6" s="1"/>
  <c r="F77" i="6" l="1"/>
  <c r="H66" i="6"/>
  <c r="A35" i="6"/>
  <c r="M49" i="4"/>
  <c r="A78" i="6"/>
  <c r="M96" i="4"/>
  <c r="D83" i="6"/>
  <c r="C83" i="6"/>
  <c r="A67" i="6"/>
  <c r="M84" i="4"/>
  <c r="D72" i="6"/>
  <c r="C72" i="6"/>
  <c r="D111" i="6"/>
  <c r="C111" i="6"/>
  <c r="D84" i="6"/>
  <c r="C84" i="6"/>
  <c r="M72" i="4"/>
  <c r="A56" i="6"/>
  <c r="D110" i="6"/>
  <c r="C110" i="6"/>
  <c r="D94" i="6"/>
  <c r="C94" i="6"/>
  <c r="C54" i="6"/>
  <c r="D54" i="6"/>
  <c r="H74" i="6"/>
  <c r="F85" i="6"/>
  <c r="H85" i="6" s="1"/>
  <c r="D108" i="6"/>
  <c r="C108" i="6"/>
  <c r="C73" i="6"/>
  <c r="D73" i="6"/>
  <c r="P63" i="4"/>
  <c r="P51" i="4"/>
  <c r="B51" i="4" s="1"/>
  <c r="A104" i="6"/>
  <c r="M126" i="4"/>
  <c r="H65" i="6"/>
  <c r="F76" i="6"/>
  <c r="B74" i="4"/>
  <c r="B110" i="4"/>
  <c r="B62" i="4"/>
  <c r="B86" i="4"/>
  <c r="B98" i="4"/>
  <c r="B128" i="4"/>
  <c r="M60" i="4"/>
  <c r="A45" i="6"/>
  <c r="D64" i="6"/>
  <c r="C64" i="6"/>
  <c r="D109" i="6"/>
  <c r="C109" i="6"/>
  <c r="H95" i="6"/>
  <c r="F96" i="6"/>
  <c r="H96" i="6" s="1"/>
  <c r="D63" i="6"/>
  <c r="C63" i="6"/>
  <c r="A36" i="6"/>
  <c r="M50" i="4"/>
  <c r="D55" i="6"/>
  <c r="C55" i="6"/>
  <c r="B97" i="4"/>
  <c r="B127" i="4"/>
  <c r="B61" i="4"/>
  <c r="B85" i="4"/>
  <c r="B109" i="4"/>
  <c r="B73" i="4"/>
  <c r="A89" i="6"/>
  <c r="M108" i="4"/>
  <c r="H75" i="6"/>
  <c r="F86" i="6"/>
  <c r="H86" i="6" s="1"/>
  <c r="A68" i="6" l="1"/>
  <c r="M85" i="4"/>
  <c r="F87" i="6"/>
  <c r="H87" i="6" s="1"/>
  <c r="H76" i="6"/>
  <c r="D65" i="6"/>
  <c r="C65" i="6"/>
  <c r="H125" i="6"/>
  <c r="D2" i="6" s="1"/>
  <c r="M127" i="4"/>
  <c r="A105" i="6"/>
  <c r="B63" i="4"/>
  <c r="B111" i="4"/>
  <c r="B75" i="4"/>
  <c r="B129" i="4"/>
  <c r="B99" i="4"/>
  <c r="B87" i="4"/>
  <c r="M97" i="4"/>
  <c r="A79" i="6"/>
  <c r="M128" i="4"/>
  <c r="A106" i="6"/>
  <c r="C75" i="6"/>
  <c r="D75" i="6"/>
  <c r="D66" i="6"/>
  <c r="C66" i="6"/>
  <c r="M61" i="4"/>
  <c r="A46" i="6"/>
  <c r="A37" i="6"/>
  <c r="M51" i="4"/>
  <c r="D86" i="6"/>
  <c r="C86" i="6"/>
  <c r="M98" i="4"/>
  <c r="A80" i="6"/>
  <c r="M86" i="4"/>
  <c r="A69" i="6"/>
  <c r="M62" i="4"/>
  <c r="A47" i="6"/>
  <c r="M73" i="4"/>
  <c r="A57" i="6"/>
  <c r="D96" i="6"/>
  <c r="C96" i="6"/>
  <c r="A91" i="6"/>
  <c r="M110" i="4"/>
  <c r="D85" i="6"/>
  <c r="C85" i="6"/>
  <c r="M109" i="4"/>
  <c r="A90" i="6"/>
  <c r="D95" i="6"/>
  <c r="C95" i="6"/>
  <c r="A58" i="6"/>
  <c r="M74" i="4"/>
  <c r="C74" i="6"/>
  <c r="D74" i="6"/>
  <c r="F88" i="6"/>
  <c r="H88" i="6" s="1"/>
  <c r="H77" i="6"/>
  <c r="M75" i="4" l="1"/>
  <c r="A59" i="6"/>
  <c r="M111" i="4"/>
  <c r="A92" i="6"/>
  <c r="M63" i="4"/>
  <c r="A48" i="6"/>
  <c r="D77" i="6"/>
  <c r="C77" i="6"/>
  <c r="D87" i="6"/>
  <c r="C87" i="6"/>
  <c r="D88" i="6"/>
  <c r="C88" i="6"/>
  <c r="D76" i="6"/>
  <c r="C76" i="6"/>
  <c r="A70" i="6"/>
  <c r="M87" i="4"/>
  <c r="M99" i="4"/>
  <c r="A81" i="6"/>
  <c r="M129" i="4"/>
  <c r="A10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<sst xmlns="http://schemas.openxmlformats.org/spreadsheetml/2006/main" count="28481" uniqueCount="20173">
  <si>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</si>
  <si>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</si>
  <si>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</si>
  <si>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</si>
  <si>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</si>
  <si>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</si>
  <si>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</si>
  <si>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</si>
  <si>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</si>
  <si>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</si>
  <si>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</si>
  <si>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</si>
  <si>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</si>
  <si>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</si>
  <si>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</si>
  <si>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</si>
  <si>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</si>
  <si>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</si>
  <si>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</si>
  <si>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</si>
  <si>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</si>
  <si>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</si>
  <si>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</si>
  <si>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</si>
  <si>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</si>
  <si>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</si>
  <si>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</si>
  <si>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</si>
  <si>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</si>
  <si>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</si>
  <si>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</si>
  <si>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</si>
  <si>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</si>
  <si>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</si>
  <si>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</si>
  <si>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</si>
  <si>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</si>
  <si>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</si>
  <si>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</si>
  <si>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</si>
  <si>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</si>
  <si>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</si>
  <si>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</si>
  <si>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</si>
  <si>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</si>
  <si>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</si>
  <si>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</si>
  <si>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</si>
  <si>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</si>
  <si>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</si>
  <si>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</si>
  <si>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</si>
  <si>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</si>
  <si>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</si>
  <si>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</si>
  <si>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</si>
  <si>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</si>
  <si>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</si>
  <si>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</si>
  <si>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</si>
  <si>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</si>
  <si>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</si>
  <si>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</si>
  <si>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</si>
  <si>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</si>
  <si>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</si>
  <si>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</si>
  <si>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</si>
  <si>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</si>
  <si>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</si>
  <si>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</si>
  <si>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</si>
  <si>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</si>
  <si>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</si>
  <si>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</si>
  <si>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</si>
  <si>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</si>
  <si>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</si>
  <si>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</si>
  <si>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</si>
  <si>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</si>
  <si>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</si>
  <si>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</si>
  <si>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</si>
  <si>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</si>
  <si>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</si>
  <si>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</si>
  <si>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</si>
  <si>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</si>
  <si>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</si>
  <si>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</si>
  <si>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</si>
  <si>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</si>
  <si>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</si>
  <si>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</si>
  <si>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</si>
  <si>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</si>
  <si>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</si>
  <si>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</si>
  <si>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</si>
  <si>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</si>
  <si>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</si>
  <si>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</si>
  <si>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</si>
  <si>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</si>
  <si>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</si>
  <si>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</si>
  <si>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</si>
  <si>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</si>
  <si>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</si>
  <si>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</si>
  <si>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</si>
  <si>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</si>
  <si>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</si>
  <si>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</si>
  <si>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</si>
  <si>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</si>
  <si>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</si>
  <si>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</si>
  <si>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</si>
  <si>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</si>
  <si>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</si>
  <si>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</si>
  <si>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</si>
  <si>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</si>
  <si>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</si>
  <si>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</si>
  <si>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</si>
  <si>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</si>
  <si>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</si>
  <si>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</si>
  <si>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</si>
  <si>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</si>
  <si>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</si>
  <si>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</si>
  <si>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</si>
  <si>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</si>
  <si>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</si>
  <si>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</si>
  <si>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</si>
  <si>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</si>
  <si>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</si>
  <si>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</si>
  <si>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</si>
  <si>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</si>
  <si>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</si>
  <si>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</si>
  <si>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</si>
  <si>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</si>
  <si>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</si>
  <si>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</si>
  <si>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</si>
  <si>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</si>
  <si>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</si>
  <si>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</si>
  <si>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</si>
  <si>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</si>
  <si>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</si>
  <si>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</si>
  <si>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</si>
  <si>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</si>
  <si>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</si>
  <si>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</si>
  <si>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</si>
  <si>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</si>
  <si>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</si>
  <si>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</si>
  <si>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</si>
  <si>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</si>
  <si>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</si>
  <si>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</si>
  <si>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</si>
  <si>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</si>
  <si>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</si>
  <si>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</si>
  <si>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</si>
  <si>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</si>
  <si>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</si>
  <si>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</si>
  <si>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</si>
  <si>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</si>
  <si>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</si>
  <si>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</si>
  <si>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</si>
  <si>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</si>
  <si>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</si>
  <si>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</si>
  <si>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</si>
  <si>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</si>
  <si>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</si>
  <si>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</si>
  <si>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</si>
  <si>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</si>
  <si>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</si>
  <si>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</si>
  <si>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</si>
  <si>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</si>
  <si>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</si>
  <si>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</si>
  <si>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</si>
  <si>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</si>
  <si>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</si>
  <si>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</si>
  <si>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</si>
  <si>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</si>
  <si>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</si>
  <si>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</si>
  <si>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</si>
  <si>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</si>
  <si>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</si>
  <si>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</si>
  <si>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</si>
  <si>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</si>
  <si>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</si>
  <si>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</si>
  <si>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</si>
  <si>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</si>
  <si>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</si>
  <si>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</si>
  <si>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</si>
  <si>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</si>
  <si>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</si>
  <si>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</si>
  <si>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</si>
  <si>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</si>
  <si>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</si>
  <si>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</si>
  <si>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</si>
  <si>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</si>
  <si>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</si>
  <si>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</si>
  <si>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</si>
  <si>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</si>
  <si>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</si>
  <si>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</si>
  <si>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</si>
  <si>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</si>
  <si>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</si>
  <si>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</si>
  <si>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</si>
  <si>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</si>
  <si>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</si>
  <si>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</si>
  <si>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</si>
  <si>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</si>
  <si>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</si>
  <si>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</si>
  <si>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</si>
  <si>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</si>
  <si>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</si>
  <si>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</si>
  <si>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</si>
  <si>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</si>
  <si>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</si>
  <si>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</si>
  <si>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</si>
  <si>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</si>
  <si>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</si>
  <si>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</si>
  <si>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</si>
  <si>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</si>
  <si>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</si>
  <si>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</si>
  <si>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</si>
  <si>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</si>
  <si>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</si>
  <si>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</si>
  <si>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</si>
  <si>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</si>
  <si>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</si>
  <si>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</si>
  <si>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</si>
  <si>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</si>
  <si>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</si>
  <si>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</si>
  <si>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</si>
  <si>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</si>
  <si>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</si>
  <si>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</si>
  <si>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</si>
  <si>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</si>
  <si>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</si>
  <si>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</si>
  <si>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</si>
  <si>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</si>
  <si>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</si>
  <si>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</si>
  <si>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</si>
  <si>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</si>
  <si>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</si>
  <si>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</si>
  <si>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</si>
  <si>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</si>
  <si>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</si>
  <si>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</si>
  <si>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</si>
  <si>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</si>
  <si>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</si>
  <si>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</si>
  <si>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</si>
  <si>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</si>
  <si>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</si>
  <si>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</si>
  <si>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</si>
  <si>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</si>
  <si>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</si>
  <si>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</si>
  <si>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</si>
  <si>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</si>
  <si>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</si>
  <si>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</si>
  <si>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</si>
  <si>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</si>
  <si>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</si>
  <si>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</si>
  <si>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</si>
  <si>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</si>
  <si>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</si>
  <si>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</si>
  <si>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</si>
  <si>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</si>
  <si>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</si>
  <si>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</si>
  <si>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</si>
  <si>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</si>
  <si>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</si>
  <si>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</si>
  <si>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</si>
  <si>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</si>
  <si>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</si>
  <si>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</si>
  <si>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</si>
  <si>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</si>
  <si>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</si>
  <si>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</si>
  <si>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</si>
  <si>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</si>
  <si>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</si>
  <si>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</si>
  <si>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</si>
  <si>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</si>
  <si>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</si>
  <si>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</si>
  <si>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</si>
  <si>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</si>
  <si>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</si>
  <si>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</si>
  <si>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</si>
  <si>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</si>
  <si>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</si>
  <si>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</si>
  <si>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</si>
  <si>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</si>
  <si>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</si>
  <si>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</si>
  <si>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</si>
  <si>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</si>
  <si>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</si>
  <si>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</si>
  <si>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</si>
  <si>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</si>
  <si>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</si>
  <si>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</si>
  <si>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</si>
  <si>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</si>
  <si>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</si>
  <si>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</si>
  <si>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</si>
  <si>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</si>
  <si>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</si>
  <si>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</si>
  <si>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</si>
  <si>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</si>
  <si>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</si>
  <si>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</si>
  <si>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</si>
  <si>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</si>
  <si>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</si>
  <si>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</si>
  <si>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</si>
  <si>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</si>
  <si>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</si>
  <si>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</si>
  <si>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</si>
  <si>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</si>
  <si>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</si>
  <si>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</si>
  <si>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</si>
  <si>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</si>
  <si>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</si>
  <si>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</si>
  <si>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</si>
  <si>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</si>
  <si>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</si>
  <si>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</si>
  <si>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</si>
  <si>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</si>
  <si>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</si>
  <si>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</si>
  <si>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</si>
  <si>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</si>
  <si>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</si>
  <si>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</si>
  <si>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</si>
  <si>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</si>
  <si>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</si>
  <si>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</si>
  <si>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</si>
  <si>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</si>
  <si>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</si>
  <si>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</si>
  <si>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</si>
  <si>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</si>
  <si>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</si>
  <si>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</si>
  <si>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</si>
  <si>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</si>
  <si>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</si>
  <si>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</si>
  <si>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</si>
  <si>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</si>
  <si>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</si>
  <si>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</si>
  <si>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</si>
  <si>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</si>
  <si>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</si>
  <si>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</si>
  <si>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</si>
  <si>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</si>
  <si>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</si>
  <si>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</si>
  <si>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</si>
  <si>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</si>
  <si>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</si>
  <si>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</si>
  <si>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</si>
  <si>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</si>
  <si>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</si>
  <si>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</si>
  <si>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</si>
  <si>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</si>
  <si>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</si>
  <si>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</si>
  <si>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</si>
  <si>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</si>
  <si>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</si>
  <si>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</si>
  <si>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</si>
  <si>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</si>
  <si>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</si>
  <si>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</si>
  <si>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</si>
  <si>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</si>
  <si>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</si>
  <si>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</si>
  <si>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</si>
  <si>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</si>
  <si>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</si>
  <si>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</si>
  <si>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</si>
  <si>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</si>
  <si>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</si>
  <si>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</si>
  <si>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</si>
  <si>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</si>
  <si>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</si>
  <si>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</si>
  <si>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</si>
  <si>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</si>
  <si>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</si>
  <si>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</si>
  <si>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</si>
  <si>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</si>
  <si>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</si>
  <si>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</si>
  <si>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</si>
  <si>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</si>
  <si>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</si>
  <si>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</si>
  <si>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</si>
  <si>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</si>
  <si>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</si>
  <si>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</si>
  <si>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</si>
  <si>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</si>
  <si>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</si>
  <si>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</si>
  <si>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</si>
  <si>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</si>
  <si>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</si>
  <si>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</si>
  <si>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</si>
  <si>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</si>
  <si>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</si>
  <si>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</si>
  <si>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</si>
  <si>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</si>
  <si>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</si>
  <si>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</si>
  <si>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</si>
  <si>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</si>
  <si>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</si>
  <si>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</si>
  <si>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</si>
  <si>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</si>
  <si>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</si>
  <si>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</si>
  <si>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</si>
  <si>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</si>
  <si>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</si>
  <si>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</si>
  <si>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</si>
  <si>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</si>
  <si>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</si>
  <si>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</si>
  <si>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</si>
  <si>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</si>
  <si>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</si>
  <si>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</si>
  <si>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</si>
  <si>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</si>
  <si>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</si>
  <si>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</si>
  <si>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</si>
  <si>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</si>
  <si>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</si>
  <si>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</si>
  <si>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</si>
  <si>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</si>
  <si>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</si>
  <si>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</si>
  <si>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</si>
  <si>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</si>
  <si>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</si>
  <si>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</si>
  <si>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</si>
  <si>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</si>
  <si>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</si>
  <si>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</si>
  <si>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</si>
  <si>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</si>
  <si>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</si>
  <si>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</si>
  <si>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</si>
  <si>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</si>
  <si>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</si>
  <si>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</si>
  <si>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</si>
  <si>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</si>
  <si>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</si>
  <si>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</si>
  <si>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</si>
  <si>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</si>
  <si>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</si>
  <si>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</si>
  <si>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</si>
  <si>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</si>
  <si>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</si>
  <si>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</si>
  <si>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</si>
  <si>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</si>
  <si>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</si>
  <si>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</si>
  <si>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</si>
  <si>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</si>
  <si>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</si>
  <si>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</si>
  <si>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</si>
  <si>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</si>
  <si>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</si>
  <si>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</si>
  <si>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</si>
  <si>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</si>
  <si>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</si>
  <si>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</si>
  <si>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</si>
  <si>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</si>
  <si>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</si>
  <si>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</si>
  <si>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</si>
  <si>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</si>
  <si>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</si>
  <si>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</si>
  <si>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</si>
  <si>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</si>
  <si>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</si>
  <si>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</si>
  <si>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</si>
  <si>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</si>
  <si>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</si>
  <si>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</si>
  <si>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</si>
  <si>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</si>
  <si>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</si>
  <si>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</si>
  <si>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</si>
  <si>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</si>
  <si>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</si>
  <si>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</si>
  <si>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</si>
  <si>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</si>
  <si>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</si>
  <si>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</si>
  <si>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</si>
  <si>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</si>
  <si>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</si>
  <si>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</si>
  <si>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</si>
  <si>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</si>
  <si>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</si>
  <si>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</si>
  <si>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</si>
  <si>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</si>
  <si>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</si>
  <si>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</si>
  <si>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</si>
  <si>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</si>
  <si>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</si>
  <si>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</si>
  <si>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</si>
  <si>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</si>
  <si>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</si>
  <si>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</si>
  <si>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</si>
  <si>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</si>
  <si>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</si>
  <si>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</si>
  <si>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</si>
  <si>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</si>
  <si>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</si>
  <si>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</si>
  <si>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</si>
  <si>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</si>
  <si>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</si>
  <si>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</si>
  <si>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</si>
  <si>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</si>
  <si>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</si>
  <si>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</si>
  <si>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</si>
  <si>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</si>
  <si>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</si>
  <si>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</si>
  <si>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</si>
  <si>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</si>
  <si>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</si>
  <si>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</si>
  <si>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</si>
  <si>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</si>
  <si>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</si>
  <si>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</si>
  <si>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</si>
  <si>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</si>
  <si>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</si>
  <si>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</si>
  <si>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</si>
  <si>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</si>
  <si>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</si>
  <si>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</si>
  <si>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</si>
  <si>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</si>
  <si>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</si>
  <si>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</si>
  <si>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</si>
  <si>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</si>
  <si>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</si>
  <si>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</si>
  <si>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</si>
  <si>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</si>
  <si>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</si>
  <si>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</si>
  <si>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</si>
  <si>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</si>
  <si>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</si>
  <si>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</si>
  <si>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</si>
  <si>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</si>
  <si>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</si>
  <si>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</si>
  <si>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</si>
  <si>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</si>
  <si>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</si>
  <si>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</si>
  <si>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</si>
  <si>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</si>
  <si>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</si>
  <si>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</si>
  <si>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</si>
  <si>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</si>
  <si>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</si>
  <si>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</si>
  <si>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</si>
  <si>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</si>
  <si>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</si>
  <si>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</si>
  <si>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</si>
  <si>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</si>
  <si>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</si>
  <si>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</si>
  <si>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</si>
  <si>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</si>
  <si>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</si>
  <si>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</si>
  <si>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</si>
  <si>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</si>
  <si>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</si>
  <si>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</si>
  <si>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</si>
  <si>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</si>
  <si>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</si>
  <si>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</si>
  <si>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</si>
  <si>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</si>
  <si>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</si>
  <si>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</si>
  <si>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</si>
  <si>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</si>
  <si>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</si>
  <si>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</si>
  <si>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</si>
  <si>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</si>
  <si>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</si>
  <si>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</si>
  <si>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</si>
  <si>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</si>
  <si>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</si>
  <si>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</si>
  <si>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</si>
  <si>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</si>
  <si>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</si>
  <si>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</si>
  <si>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</si>
  <si>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</si>
  <si>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</si>
  <si>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</si>
  <si>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</si>
  <si>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</si>
  <si>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</si>
  <si>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</si>
  <si>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</si>
  <si>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</si>
  <si>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</si>
  <si>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</si>
  <si>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</si>
  <si>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</si>
  <si>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</si>
  <si>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</si>
  <si>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</si>
  <si>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</si>
  <si>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</si>
  <si>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</si>
  <si>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</si>
  <si>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</si>
  <si>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</si>
  <si>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</si>
  <si>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</si>
  <si>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</si>
  <si>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</si>
  <si>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</si>
  <si>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</si>
  <si>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</si>
  <si>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</si>
  <si>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</si>
  <si>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</si>
  <si>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</si>
  <si>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</si>
  <si>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</si>
  <si>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</si>
  <si>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</si>
  <si>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</si>
  <si>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</si>
  <si>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</si>
  <si>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</si>
  <si>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</si>
  <si>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</si>
  <si>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</si>
  <si>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</si>
  <si>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</si>
  <si>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</si>
  <si>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</si>
  <si>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</si>
  <si>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</si>
  <si>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</si>
  <si>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</si>
  <si>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</si>
  <si>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</si>
  <si>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</si>
  <si>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</si>
  <si>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</si>
  <si>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</si>
  <si>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</si>
  <si>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</si>
  <si>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</si>
  <si>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</si>
  <si>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</si>
  <si>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</si>
  <si>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</si>
  <si>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</si>
  <si>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</si>
  <si>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</si>
  <si>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</si>
  <si>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</si>
  <si>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</si>
  <si>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</si>
  <si>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</si>
  <si>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</si>
  <si>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</si>
  <si>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</si>
  <si>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</si>
  <si>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</si>
  <si>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</si>
  <si>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</si>
  <si>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</si>
  <si>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</si>
  <si>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</si>
  <si>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</si>
  <si>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</si>
  <si>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</si>
  <si>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</si>
  <si>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</si>
  <si>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</si>
  <si>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</si>
  <si>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</si>
  <si>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</si>
  <si>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</si>
  <si>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</si>
  <si>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</si>
  <si>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</si>
  <si>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</si>
  <si>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</si>
  <si>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</si>
  <si>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</si>
  <si>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</si>
  <si>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</si>
  <si>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</si>
  <si>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</si>
  <si>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</si>
  <si>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</si>
  <si>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</si>
  <si>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</si>
  <si>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</si>
  <si>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</si>
  <si>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</si>
  <si>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</si>
  <si>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</si>
  <si>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</si>
  <si>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</si>
  <si>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</si>
  <si>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</si>
  <si>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</si>
  <si>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</si>
  <si>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</si>
  <si>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</si>
  <si>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</si>
  <si>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</si>
  <si>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</si>
  <si>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</si>
  <si>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</si>
  <si>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</si>
  <si>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</si>
  <si>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</si>
  <si>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</si>
  <si>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</si>
  <si>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</si>
  <si>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</si>
  <si>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</si>
  <si>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</si>
  <si>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</si>
  <si>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</si>
  <si>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</si>
  <si>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</si>
  <si>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</si>
  <si>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</si>
  <si>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</si>
  <si>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</si>
  <si>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</si>
  <si>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</si>
  <si>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</si>
  <si>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</si>
  <si>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</si>
  <si>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</si>
  <si>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</si>
  <si>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</si>
  <si>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</si>
  <si>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</si>
  <si>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</si>
  <si>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</si>
  <si>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</si>
  <si>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</si>
  <si>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</si>
  <si>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</si>
  <si>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</si>
  <si>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</si>
  <si>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</si>
  <si>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</si>
  <si>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</si>
  <si>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</si>
  <si>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</si>
  <si>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</si>
  <si>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</si>
  <si>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</si>
  <si>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</si>
  <si>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</si>
  <si>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</si>
  <si>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</si>
  <si>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</si>
  <si>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</si>
  <si>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</si>
  <si>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</si>
  <si>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</si>
  <si>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</si>
  <si>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</si>
  <si>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</si>
  <si>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</si>
  <si>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</si>
  <si>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</si>
  <si>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</si>
  <si>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</si>
  <si>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</si>
  <si>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</si>
  <si>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</si>
  <si>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</si>
  <si>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</si>
  <si>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</si>
  <si>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</si>
  <si>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</si>
  <si>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</si>
  <si>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</si>
  <si>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</si>
  <si>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</si>
  <si>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</si>
  <si>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</si>
  <si>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</si>
  <si>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</si>
  <si>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</si>
  <si>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</si>
  <si>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</si>
  <si>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</si>
  <si>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</si>
  <si>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</si>
  <si>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</si>
  <si>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</si>
  <si>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</si>
  <si>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</si>
  <si>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</si>
  <si>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</si>
  <si>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</si>
  <si>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</si>
  <si>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</si>
  <si>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</si>
  <si>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</si>
  <si>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</si>
  <si>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</si>
  <si>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</si>
  <si>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</si>
  <si>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</si>
  <si>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</si>
  <si>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</si>
  <si>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</si>
  <si>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</si>
  <si>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</si>
  <si>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</si>
  <si>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</si>
  <si>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</si>
  <si>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</si>
  <si>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</si>
  <si>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</si>
  <si>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</si>
  <si>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</si>
  <si>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</si>
  <si>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</si>
  <si>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</si>
  <si>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</si>
  <si>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</si>
  <si>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</si>
  <si>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</si>
  <si>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</si>
  <si>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</si>
  <si>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</si>
  <si>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</si>
  <si>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</si>
  <si>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</si>
  <si>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</si>
  <si>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</si>
  <si>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</si>
  <si>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</si>
  <si>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</si>
  <si>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</si>
  <si>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</si>
  <si>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</si>
  <si>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</si>
  <si>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</si>
  <si>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</si>
  <si>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</si>
  <si>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</si>
  <si>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</si>
  <si>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</si>
  <si>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</si>
  <si>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</si>
  <si>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</si>
  <si>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</si>
  <si>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</si>
  <si>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</si>
  <si>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</si>
  <si>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</si>
  <si>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</si>
  <si>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</si>
  <si>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</si>
  <si>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</si>
  <si>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</si>
  <si>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</si>
  <si>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</si>
  <si>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</si>
  <si>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</si>
  <si>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</si>
  <si>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</si>
  <si>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</si>
  <si>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</si>
  <si>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</si>
  <si>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</si>
  <si>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</si>
  <si>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</si>
  <si>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</si>
  <si>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</si>
  <si>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</si>
  <si>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</si>
  <si>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</si>
  <si>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</si>
  <si>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</si>
  <si>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</si>
  <si>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</si>
  <si>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</si>
  <si>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</si>
  <si>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</si>
  <si>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</si>
  <si>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</si>
  <si>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</si>
  <si>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</si>
  <si>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</si>
  <si>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</si>
  <si>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</si>
  <si>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</si>
  <si>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</si>
  <si>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</si>
  <si>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</si>
  <si>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</si>
  <si>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</si>
  <si>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</si>
  <si>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</si>
  <si>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</si>
  <si>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</si>
  <si>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</si>
  <si>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</si>
  <si>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</si>
  <si>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</si>
  <si>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</si>
  <si>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</si>
  <si>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</si>
  <si>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</si>
  <si>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</si>
  <si>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</si>
  <si>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</si>
  <si>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</si>
  <si>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</si>
  <si>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</si>
  <si>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</si>
  <si>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</si>
  <si>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</si>
  <si>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</si>
  <si>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</si>
  <si>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</si>
  <si>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</si>
  <si>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</si>
  <si>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</si>
  <si>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</si>
  <si>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</si>
  <si>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</si>
  <si>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</si>
  <si>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</si>
  <si>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</si>
  <si>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</si>
  <si>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</si>
  <si>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</si>
  <si>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</si>
  <si>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</si>
  <si>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</si>
  <si>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</si>
  <si>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</si>
  <si>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</si>
  <si>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</si>
  <si>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</si>
  <si>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</si>
  <si>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</si>
  <si>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</si>
  <si>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</si>
  <si>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</si>
  <si>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</si>
  <si>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</si>
  <si>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</si>
  <si>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</si>
  <si>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</si>
  <si>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</si>
  <si>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</si>
  <si>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</si>
  <si>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</si>
  <si>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</si>
  <si>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</si>
  <si>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</si>
  <si>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</si>
  <si>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</si>
  <si>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</si>
  <si>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</si>
  <si>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</si>
  <si>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</si>
  <si>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</si>
  <si>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</si>
  <si>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</si>
  <si>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</si>
  <si>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</si>
  <si>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</si>
  <si>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</si>
  <si>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</si>
  <si>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</si>
  <si>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</si>
  <si>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</si>
  <si>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</si>
  <si>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</si>
  <si>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</si>
  <si>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</si>
  <si>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</si>
  <si>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</si>
  <si>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</si>
  <si>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</si>
  <si>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</si>
  <si>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</si>
  <si>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</si>
  <si>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</si>
  <si>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</si>
  <si>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</si>
  <si>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</si>
  <si>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</si>
  <si>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</si>
  <si>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</si>
  <si>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</si>
  <si>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</si>
  <si>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</si>
  <si>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</si>
  <si>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</si>
  <si>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</si>
  <si>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</si>
  <si>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</si>
  <si>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</si>
  <si>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</si>
  <si>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</si>
  <si>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</si>
  <si>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</si>
  <si>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</si>
  <si>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</si>
  <si>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</si>
  <si>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</si>
  <si>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</si>
  <si>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</si>
  <si>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</si>
  <si>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</si>
  <si>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</si>
  <si>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</si>
  <si>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</si>
  <si>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</si>
  <si>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</si>
  <si>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</si>
  <si>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</si>
  <si>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</si>
  <si>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</si>
  <si>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</si>
  <si>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</si>
  <si>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</si>
  <si>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</si>
  <si>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</si>
  <si>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</si>
  <si>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</si>
  <si>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</si>
  <si>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</si>
  <si>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</si>
  <si>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</si>
  <si>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</si>
  <si>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</si>
  <si>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</si>
  <si>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</si>
  <si>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</si>
  <si>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</si>
  <si>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</si>
  <si>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</si>
  <si>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</si>
  <si>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</si>
  <si>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</si>
  <si>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</si>
  <si>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</si>
  <si>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</si>
  <si>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</si>
  <si>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</si>
  <si>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</si>
  <si>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</si>
  <si>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</si>
  <si>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</si>
  <si>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</si>
  <si>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</si>
  <si>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</si>
  <si>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</si>
  <si>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</si>
  <si>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</si>
  <si>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</si>
  <si>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</si>
  <si>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</si>
  <si>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</si>
  <si>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</si>
  <si>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</si>
  <si>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</si>
  <si>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</si>
  <si>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</si>
  <si>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</si>
  <si>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</si>
  <si>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</si>
  <si>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</si>
  <si>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</si>
  <si>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</si>
  <si>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</si>
  <si>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</si>
  <si>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</si>
  <si>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</si>
  <si>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</si>
  <si>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</si>
  <si>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</si>
  <si>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</si>
  <si>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</si>
  <si>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</si>
  <si>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</si>
  <si>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</si>
  <si>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</si>
  <si>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</si>
  <si>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</si>
  <si>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</si>
  <si>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</si>
  <si>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</si>
  <si>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</si>
  <si>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</si>
  <si>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</si>
  <si>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</si>
  <si>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</si>
  <si>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</si>
  <si>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</si>
  <si>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</si>
  <si>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</si>
  <si>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</si>
  <si>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</si>
  <si>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</si>
  <si>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</si>
  <si>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</si>
  <si>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</si>
  <si>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</si>
  <si>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</si>
  <si>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</si>
  <si>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</si>
  <si>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</si>
  <si>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</si>
  <si>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</si>
  <si>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</si>
  <si>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</si>
  <si>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</si>
  <si>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</si>
  <si>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</si>
  <si>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</si>
  <si>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</si>
  <si>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</si>
  <si>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</si>
  <si>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</si>
  <si>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</si>
  <si>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</si>
  <si>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</si>
  <si>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</si>
  <si>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</si>
  <si>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</si>
  <si>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</si>
  <si>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</si>
  <si>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</si>
  <si>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</si>
  <si>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</si>
  <si>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</si>
  <si>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</si>
  <si>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</si>
  <si>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</si>
  <si>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</si>
  <si>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</si>
  <si>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</si>
  <si>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</si>
  <si>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</si>
  <si>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</si>
  <si>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</si>
  <si>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</si>
  <si>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</si>
  <si>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</si>
  <si>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</si>
  <si>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</si>
  <si>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</si>
  <si>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</si>
  <si>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</si>
  <si>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</si>
  <si>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</si>
  <si>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</si>
  <si>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</si>
  <si>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</si>
  <si>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</si>
  <si>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</si>
  <si>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</si>
  <si>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</si>
  <si>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</si>
  <si>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</si>
  <si>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</si>
  <si>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</si>
  <si>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</si>
  <si>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</si>
  <si>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</si>
  <si>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</si>
  <si>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</si>
  <si>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</si>
  <si>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</si>
  <si>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</si>
  <si>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</si>
  <si>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</si>
  <si>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</si>
  <si>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</si>
  <si>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</si>
  <si>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</si>
  <si>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</si>
  <si>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</si>
  <si>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</si>
  <si>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</si>
  <si>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</si>
  <si>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</si>
  <si>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</si>
  <si>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</si>
  <si>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</si>
  <si>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</si>
  <si>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</si>
  <si>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</si>
  <si>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</si>
  <si>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</si>
  <si>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</si>
  <si>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</si>
  <si>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</si>
  <si>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</si>
  <si>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</si>
  <si>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</si>
  <si>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</si>
  <si>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</si>
  <si>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</si>
  <si>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</si>
  <si>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</si>
  <si>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</si>
  <si>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</si>
  <si>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</si>
  <si>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</si>
  <si>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</si>
  <si>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</si>
  <si>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</si>
  <si>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</si>
  <si>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</si>
  <si>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</si>
  <si>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</si>
  <si>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</si>
  <si>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</si>
  <si>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</si>
  <si>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</si>
  <si>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</si>
  <si>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</si>
  <si>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</si>
  <si>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</si>
  <si>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</si>
  <si>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</si>
  <si>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</si>
  <si>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</si>
  <si>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</si>
  <si>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</si>
  <si>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</si>
  <si>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</si>
  <si>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</si>
  <si>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</si>
  <si>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</si>
  <si>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</si>
  <si>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</si>
  <si>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</si>
  <si>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</si>
  <si>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</si>
  <si>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</si>
  <si>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</si>
  <si>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</si>
  <si>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</si>
  <si>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</si>
  <si>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</si>
  <si>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</si>
  <si>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</si>
  <si>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</si>
  <si>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</si>
  <si>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</si>
  <si>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</si>
  <si>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</si>
  <si>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</si>
  <si>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</si>
  <si>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</si>
  <si>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</si>
  <si>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</si>
  <si>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</si>
  <si>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</si>
  <si>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</si>
  <si>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</si>
  <si>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</si>
  <si>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</si>
  <si>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</si>
  <si>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</si>
  <si>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</si>
  <si>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</si>
  <si>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</si>
  <si>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</si>
  <si>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</si>
  <si>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</si>
  <si>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</si>
  <si>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</si>
  <si>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</si>
  <si>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</si>
  <si>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</si>
  <si>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</si>
  <si>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</si>
  <si>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</si>
  <si>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</si>
  <si>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</si>
  <si>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</si>
  <si>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</si>
  <si>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</si>
  <si>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</si>
  <si>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</si>
  <si>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</si>
  <si>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</si>
  <si>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</si>
  <si>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</si>
  <si>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</si>
  <si>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</si>
  <si>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</si>
  <si>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</si>
  <si>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</si>
  <si>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</si>
  <si>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</si>
  <si>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</si>
  <si>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</si>
  <si>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</si>
  <si>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</si>
  <si>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</si>
  <si>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</si>
  <si>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</si>
  <si>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</si>
  <si>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</si>
  <si>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</si>
  <si>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</si>
  <si>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</si>
  <si>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</si>
  <si>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</si>
  <si>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</si>
  <si>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</si>
  <si>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</si>
  <si>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</si>
  <si>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</si>
  <si>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</si>
  <si>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</si>
  <si>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</si>
  <si>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</si>
  <si>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</si>
  <si>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</si>
  <si>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</si>
  <si>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</si>
  <si>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</si>
  <si>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</si>
  <si>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</si>
  <si>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</si>
  <si>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</si>
  <si>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</si>
  <si>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</si>
  <si>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</si>
  <si>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</si>
  <si>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</si>
  <si>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</si>
  <si>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</si>
  <si>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</si>
  <si>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</si>
  <si>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</si>
  <si>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</si>
  <si>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</si>
  <si>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</si>
  <si>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</si>
  <si>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</si>
  <si>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</si>
  <si>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</si>
  <si>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</si>
  <si>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</si>
  <si>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</si>
  <si>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</si>
  <si>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</si>
  <si>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</si>
  <si>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</si>
  <si>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</si>
  <si>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</si>
  <si>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</si>
  <si>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</si>
  <si>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</si>
  <si>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</si>
  <si>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</si>
  <si>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</si>
  <si>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</si>
  <si>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</si>
  <si>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</si>
  <si>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</si>
  <si>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</si>
  <si>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</si>
  <si>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</si>
  <si>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</si>
  <si>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</si>
  <si>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</si>
  <si>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</si>
  <si>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</si>
  <si>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</si>
  <si>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</si>
  <si>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</si>
  <si>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</si>
  <si>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</si>
  <si>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</si>
  <si>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</si>
  <si>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</si>
  <si>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</si>
  <si>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</si>
  <si>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</si>
  <si>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</si>
  <si>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</si>
  <si>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</si>
  <si>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</si>
  <si>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</si>
  <si>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</si>
  <si>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</si>
  <si>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</si>
  <si>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</si>
  <si>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</si>
  <si>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</si>
  <si>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</si>
  <si>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</si>
  <si>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</si>
  <si>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</si>
  <si>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</si>
  <si>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</si>
  <si>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</si>
  <si>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</si>
  <si>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</si>
  <si>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</si>
  <si>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</si>
  <si>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</si>
  <si>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</si>
  <si>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</si>
  <si>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</si>
  <si>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</si>
  <si>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</si>
  <si>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</si>
  <si>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</si>
  <si>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</si>
  <si>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</si>
  <si>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</si>
  <si>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</si>
  <si>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</si>
  <si>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</si>
  <si>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</si>
  <si>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</si>
  <si>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</si>
  <si>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</si>
  <si>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</si>
  <si>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</si>
  <si>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</si>
  <si>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</si>
  <si>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</si>
  <si>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</si>
  <si>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</si>
  <si>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</si>
  <si>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</si>
  <si>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</si>
  <si>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</si>
  <si>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</si>
  <si>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</si>
  <si>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</si>
  <si>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</si>
  <si>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</si>
  <si>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</si>
  <si>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</si>
  <si>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</si>
  <si>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</si>
  <si>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</si>
  <si>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</si>
  <si>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</si>
  <si>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</si>
  <si>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</si>
  <si>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</si>
  <si>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</si>
  <si>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</si>
  <si>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</si>
  <si>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</si>
  <si>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</si>
  <si>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</si>
  <si>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</si>
  <si>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</si>
  <si>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</si>
  <si>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</si>
  <si>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</si>
  <si>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</si>
  <si>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</si>
  <si>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</si>
  <si>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</si>
  <si>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</si>
  <si>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</si>
  <si>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</si>
  <si>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</si>
  <si>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</si>
  <si>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</si>
  <si>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</si>
  <si>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</si>
  <si>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</si>
  <si>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</si>
  <si>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</si>
  <si>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</si>
  <si>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</si>
  <si>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</si>
  <si>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</si>
  <si>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</si>
  <si>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</si>
  <si>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</si>
  <si>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</si>
  <si>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</si>
  <si>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</si>
  <si>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</si>
  <si>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</si>
  <si>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</si>
  <si>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</si>
  <si>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</si>
  <si>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</si>
  <si>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</si>
  <si>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</si>
  <si>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</si>
  <si>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</si>
  <si>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</si>
  <si>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</si>
  <si>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</si>
  <si>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</si>
  <si>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</si>
  <si>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</si>
  <si>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</si>
  <si>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</si>
  <si>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</si>
  <si>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</si>
  <si>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</si>
  <si>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</si>
  <si>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</si>
  <si>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</si>
  <si>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</si>
  <si>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</si>
  <si>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</si>
  <si>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</si>
  <si>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</si>
  <si>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</si>
  <si>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</si>
  <si>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</si>
  <si>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</si>
  <si>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</si>
  <si>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</si>
  <si>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</si>
  <si>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</si>
  <si>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</si>
  <si>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</si>
  <si>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</si>
  <si>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</si>
  <si>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</si>
  <si>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</si>
  <si>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</si>
  <si>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</si>
  <si>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</si>
  <si>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</si>
  <si>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</si>
  <si>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</si>
  <si>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</si>
  <si>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</si>
  <si>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</si>
  <si>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</si>
  <si>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</si>
  <si>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</si>
  <si>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</si>
  <si>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</si>
  <si>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</si>
  <si>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</si>
  <si>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</si>
  <si>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</si>
  <si>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</si>
  <si>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</si>
  <si>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</si>
  <si>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</si>
  <si>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</si>
  <si>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</si>
  <si>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</si>
  <si>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</si>
  <si>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</si>
  <si>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</si>
  <si>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</si>
  <si>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</si>
  <si>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</si>
  <si>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</si>
  <si>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</si>
  <si>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</si>
  <si>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</si>
  <si>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</si>
  <si>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</si>
  <si>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</si>
  <si>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</si>
  <si>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</si>
  <si>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</si>
  <si>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</si>
  <si>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</si>
  <si>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</si>
  <si>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</si>
  <si>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</si>
  <si>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</si>
  <si>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</si>
  <si>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</si>
  <si>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</si>
  <si>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</si>
  <si>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</si>
  <si>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</si>
  <si>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</si>
  <si>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</si>
  <si>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</si>
  <si>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</si>
  <si>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</si>
  <si>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</si>
  <si>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</si>
  <si>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</si>
  <si>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</si>
  <si>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</si>
  <si>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</si>
  <si>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</si>
  <si>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</si>
  <si>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</si>
  <si>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</si>
  <si>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</si>
  <si>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</si>
  <si>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</si>
  <si>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</si>
  <si>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</si>
  <si>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</si>
  <si>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</si>
  <si>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</si>
  <si>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</si>
  <si>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</si>
  <si>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</si>
  <si>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</si>
  <si>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</si>
  <si>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</si>
  <si>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</si>
  <si>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</si>
  <si>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</si>
  <si>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</si>
  <si>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</si>
  <si>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</si>
  <si>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</si>
  <si>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</si>
  <si>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</si>
  <si>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</si>
  <si>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</si>
  <si>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</si>
  <si>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</si>
  <si>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</si>
  <si>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</si>
  <si>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</si>
  <si>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</si>
  <si>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</si>
  <si>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</si>
  <si>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</si>
  <si>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</si>
  <si>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</si>
  <si>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</si>
  <si>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</si>
  <si>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</si>
  <si>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</si>
  <si>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</si>
  <si>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</si>
  <si>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</si>
  <si>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</si>
  <si>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</si>
  <si>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</si>
  <si>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</si>
  <si>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</si>
  <si>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</si>
  <si>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</si>
  <si>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</si>
  <si>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</si>
  <si>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</si>
  <si>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</si>
  <si>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</si>
  <si>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</si>
  <si>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</si>
  <si>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</si>
  <si>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</si>
  <si>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</si>
  <si>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</si>
  <si>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</si>
  <si>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</si>
  <si>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</si>
  <si>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</si>
  <si>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</si>
  <si>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</si>
  <si>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</si>
  <si>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</si>
  <si>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</si>
  <si>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</si>
  <si>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</si>
  <si>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</si>
  <si>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</si>
  <si>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</si>
  <si>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</si>
  <si>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</si>
  <si>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</si>
  <si>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</si>
  <si>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</si>
  <si>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</si>
  <si>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</si>
  <si>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</si>
  <si>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</si>
  <si>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</si>
  <si>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</si>
  <si>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</si>
  <si>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</si>
  <si>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</si>
  <si>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</si>
  <si>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</si>
  <si>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</si>
  <si>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</si>
  <si>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</si>
  <si>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</si>
  <si>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</si>
  <si>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</si>
  <si>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</si>
  <si>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</si>
  <si>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</si>
  <si>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</si>
  <si>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</si>
  <si>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</si>
  <si>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</si>
  <si>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</si>
  <si>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</si>
  <si>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</si>
  <si>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</si>
  <si>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</si>
  <si>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</si>
  <si>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</si>
  <si>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</si>
  <si>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</si>
  <si>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</si>
  <si>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</si>
  <si>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</si>
  <si>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</si>
  <si>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</si>
  <si>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</si>
  <si>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</si>
  <si>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</si>
  <si>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</si>
  <si>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</si>
  <si>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</si>
  <si>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</si>
  <si>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</si>
  <si>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</si>
  <si>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</si>
  <si>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</si>
  <si>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</si>
  <si>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</si>
  <si>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</si>
  <si>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</si>
  <si>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</si>
  <si>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</si>
  <si>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</si>
  <si>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</si>
  <si>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</si>
  <si>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</si>
  <si>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</si>
  <si>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</si>
  <si>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</si>
  <si>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</si>
  <si>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</si>
  <si>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</si>
  <si>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</si>
  <si>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</si>
  <si>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</si>
  <si>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</si>
  <si>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</si>
  <si>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</si>
  <si>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</si>
  <si>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</si>
  <si>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</si>
  <si>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</si>
  <si>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</si>
  <si>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</si>
  <si>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</si>
  <si>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</si>
  <si>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</si>
  <si>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</si>
  <si>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</si>
  <si>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</si>
  <si>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</si>
  <si>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</si>
  <si>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</si>
  <si>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</si>
  <si>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</si>
  <si>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</si>
  <si>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</si>
  <si>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</si>
  <si>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</si>
  <si>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</si>
  <si>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</si>
  <si>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</si>
  <si>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</si>
  <si>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</si>
  <si>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</si>
  <si>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</si>
  <si>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</si>
  <si>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</si>
  <si>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</si>
  <si>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</si>
  <si>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</si>
  <si>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</si>
  <si>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</si>
  <si>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</si>
  <si>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</si>
  <si>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</si>
  <si>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</si>
  <si>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</si>
  <si>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</si>
  <si>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</si>
  <si>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</si>
  <si>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</si>
  <si>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</si>
  <si>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</si>
  <si>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</si>
  <si>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</si>
  <si>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</si>
  <si>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</si>
  <si>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</si>
  <si>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</si>
  <si>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</si>
  <si>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</si>
  <si>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</si>
  <si>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</si>
  <si>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</si>
  <si>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</si>
  <si>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</si>
  <si>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</si>
  <si>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</si>
  <si>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</si>
  <si>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</si>
  <si>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</si>
  <si>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</si>
  <si>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</si>
  <si>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</si>
  <si>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</si>
  <si>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</si>
  <si>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</si>
  <si>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</si>
  <si>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</si>
  <si>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</si>
  <si>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</si>
  <si>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</si>
  <si>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</si>
  <si>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</si>
  <si>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</si>
  <si>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</si>
  <si>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</si>
  <si>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</si>
  <si>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</si>
  <si>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</si>
  <si>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</si>
  <si>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</si>
  <si>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</si>
  <si>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</si>
  <si>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</si>
  <si>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</si>
  <si>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</si>
  <si>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</si>
  <si>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</si>
  <si>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</si>
  <si>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</si>
  <si>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</si>
  <si>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</si>
  <si>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</si>
  <si>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</si>
  <si>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</si>
  <si>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</si>
  <si>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</si>
  <si>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</si>
  <si>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</si>
  <si>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</si>
  <si>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</si>
  <si>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</si>
  <si>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</si>
  <si>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</si>
  <si>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</si>
  <si>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</si>
  <si>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</si>
  <si>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</si>
  <si>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</si>
  <si>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</si>
  <si>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</si>
  <si>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</si>
  <si>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</si>
  <si>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</si>
  <si>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</si>
  <si>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</si>
  <si>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</si>
  <si>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</si>
  <si>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</si>
  <si>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</si>
  <si>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</si>
  <si>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</si>
  <si>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</si>
  <si>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</si>
  <si>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</si>
  <si>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</si>
  <si>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</si>
  <si>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</si>
  <si>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</si>
  <si>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</si>
  <si>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</si>
  <si>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</si>
  <si>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</si>
  <si>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</si>
  <si>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</si>
  <si>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</si>
  <si>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</si>
  <si>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</si>
  <si>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</si>
  <si>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</si>
  <si>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</si>
  <si>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</si>
  <si>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</si>
  <si>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</si>
  <si>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</si>
  <si>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</si>
  <si>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</si>
  <si>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</si>
  <si>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</si>
  <si>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</si>
  <si>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</si>
  <si>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</si>
  <si>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</si>
  <si>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</si>
  <si>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</si>
  <si>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</si>
  <si>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</si>
  <si>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</si>
  <si>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</si>
  <si>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</si>
  <si>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</si>
  <si>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</si>
  <si>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</si>
  <si>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</si>
  <si>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</si>
  <si>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</si>
  <si>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</si>
  <si>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</si>
  <si>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</si>
  <si>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</si>
  <si>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</si>
  <si>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</si>
  <si>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</si>
  <si>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</si>
  <si>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</si>
  <si>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</si>
  <si>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</si>
  <si>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</si>
  <si>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</si>
  <si>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</si>
  <si>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</si>
  <si>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</si>
  <si>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</si>
  <si>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</si>
  <si>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</si>
  <si>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</si>
  <si>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</si>
  <si>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</si>
  <si>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</si>
  <si>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</si>
  <si>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</si>
  <si>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</si>
  <si>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</si>
  <si>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</si>
  <si>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</si>
  <si>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</si>
  <si>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</si>
  <si>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</si>
  <si>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</si>
  <si>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</si>
  <si>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</si>
  <si>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</si>
  <si>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</si>
  <si>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</si>
  <si>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</si>
  <si>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</si>
  <si>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</si>
  <si>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</si>
  <si>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</si>
  <si>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</si>
  <si>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</si>
  <si>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</si>
  <si>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</si>
  <si>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</si>
  <si>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</si>
  <si>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</si>
  <si>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</si>
  <si>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</si>
  <si>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</si>
  <si>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</si>
  <si>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</si>
  <si>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</si>
  <si>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</si>
  <si>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</si>
  <si>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</si>
  <si>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</si>
  <si>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</si>
  <si>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</si>
  <si>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</si>
  <si>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</si>
  <si>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</si>
  <si>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</si>
  <si>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</si>
  <si>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</si>
  <si>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</si>
  <si>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</si>
  <si>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</si>
  <si>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</si>
  <si>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</si>
  <si>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</si>
  <si>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</si>
  <si>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</si>
  <si>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</si>
  <si>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</si>
  <si>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</si>
  <si>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</si>
  <si>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</si>
  <si>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</si>
  <si>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</si>
  <si>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</si>
  <si>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</si>
  <si>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</si>
  <si>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</si>
  <si>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</si>
  <si>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</si>
  <si>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</si>
  <si>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</si>
  <si>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</si>
  <si>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</si>
  <si>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</si>
  <si>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</si>
  <si>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</si>
  <si>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</si>
  <si>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</si>
  <si>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</si>
  <si>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</si>
  <si>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</si>
  <si>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</si>
  <si>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</si>
  <si>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</si>
  <si>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</si>
  <si>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</si>
  <si>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</si>
  <si>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</si>
  <si>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</si>
  <si>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</si>
  <si>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</si>
  <si>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</si>
  <si>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</si>
  <si>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</si>
  <si>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</si>
  <si>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</si>
  <si>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</si>
  <si>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</si>
  <si>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</si>
  <si>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</si>
  <si>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</si>
  <si>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</si>
  <si>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</si>
  <si>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</si>
  <si>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</si>
  <si>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</si>
  <si>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</si>
  <si>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</si>
  <si>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</si>
  <si>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</si>
  <si>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</si>
  <si>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</si>
  <si>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</si>
  <si>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</si>
  <si>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</si>
  <si>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</si>
  <si>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</si>
  <si>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</si>
  <si>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</si>
  <si>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</si>
  <si>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</si>
  <si>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</si>
  <si>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</si>
  <si>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</si>
  <si>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</si>
  <si>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</si>
  <si>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</si>
  <si>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</si>
  <si>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</si>
  <si>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</si>
  <si>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</si>
  <si>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</si>
  <si>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</si>
  <si>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</si>
  <si>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</si>
  <si>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</si>
  <si>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</si>
  <si>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</si>
  <si>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</si>
  <si>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</si>
  <si>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</si>
  <si>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</si>
  <si>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</si>
  <si>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</si>
  <si>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</si>
  <si>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</si>
  <si>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</si>
  <si>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</si>
  <si>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</si>
  <si>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</si>
  <si>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</si>
  <si>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</si>
  <si>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</si>
  <si>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</si>
  <si>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</si>
  <si>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</si>
  <si>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</si>
  <si>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</si>
  <si>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</si>
  <si>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</si>
  <si>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</si>
  <si>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</si>
  <si>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</si>
  <si>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</si>
  <si>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</si>
  <si>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</si>
  <si>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</si>
  <si>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</si>
  <si>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</si>
  <si>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</si>
  <si>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</si>
  <si>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</si>
  <si>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</si>
  <si>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</si>
  <si>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</si>
  <si>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</si>
  <si>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</si>
  <si>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</si>
  <si>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</si>
  <si>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</si>
  <si>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</si>
  <si>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</si>
  <si>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</si>
  <si>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</si>
  <si>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</si>
  <si>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</si>
  <si>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</si>
  <si>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</si>
  <si>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</si>
  <si>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</si>
  <si>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</si>
  <si>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</si>
  <si>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</si>
  <si>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</si>
  <si>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</si>
  <si>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</si>
  <si>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</si>
  <si>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</si>
  <si>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</si>
  <si>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</si>
  <si>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</si>
  <si>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</si>
  <si>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</si>
  <si>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</si>
  <si>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</si>
  <si>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</si>
  <si>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</si>
  <si>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</si>
  <si>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</si>
  <si>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</si>
  <si>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</si>
  <si>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</si>
  <si>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</si>
  <si>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</si>
  <si>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</si>
  <si>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</si>
  <si>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</si>
  <si>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</si>
  <si>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</si>
  <si>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</si>
  <si>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</si>
  <si>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</si>
  <si>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</si>
  <si>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</si>
  <si>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</si>
  <si>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</si>
  <si>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</si>
  <si>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</si>
  <si>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</si>
  <si>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</si>
  <si>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</si>
  <si>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</si>
  <si>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</si>
  <si>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</si>
  <si>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</si>
  <si>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</si>
  <si>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</si>
  <si>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</si>
  <si>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</si>
  <si>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</si>
  <si>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</si>
  <si>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</si>
  <si>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</si>
  <si>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</si>
  <si>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</si>
  <si>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</si>
  <si>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</si>
  <si>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</si>
  <si>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</si>
  <si>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</si>
  <si>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</si>
  <si>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</si>
  <si>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</si>
  <si>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</si>
  <si>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</si>
  <si>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</si>
  <si>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</si>
  <si>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</si>
  <si>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</si>
  <si>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</si>
  <si>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</si>
  <si>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</si>
  <si>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</si>
  <si>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</si>
  <si>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</si>
  <si>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</si>
  <si>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</si>
  <si>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</si>
  <si>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</si>
  <si>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</si>
  <si>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</si>
  <si>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</si>
  <si>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</si>
  <si>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</si>
  <si>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</si>
  <si>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</si>
  <si>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</si>
  <si>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</si>
  <si>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</si>
  <si>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</si>
  <si>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</si>
  <si>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</si>
  <si>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</si>
  <si>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</si>
  <si>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</si>
  <si>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</si>
  <si>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</si>
  <si>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</si>
  <si>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</si>
  <si>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</si>
  <si>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</si>
  <si>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</si>
  <si>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</si>
  <si>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</si>
  <si>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</si>
  <si>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</si>
  <si>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</si>
  <si>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</si>
  <si>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</si>
  <si>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</si>
  <si>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</si>
  <si>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</si>
  <si>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</si>
  <si>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</si>
  <si>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</si>
  <si>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</si>
  <si>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</si>
  <si>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</si>
  <si>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</si>
  <si>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</si>
  <si>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</si>
  <si>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</si>
  <si>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</si>
  <si>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</si>
  <si>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</si>
  <si>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</si>
  <si>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</si>
  <si>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</si>
  <si>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</si>
  <si>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</si>
  <si>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</si>
  <si>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</si>
  <si>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</si>
  <si>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</si>
  <si>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</si>
  <si>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</si>
  <si>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</si>
  <si>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</si>
  <si>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</si>
  <si>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</si>
  <si>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</si>
  <si>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</si>
  <si>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</si>
  <si>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</si>
  <si>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</si>
  <si>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</si>
  <si>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</si>
  <si>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</si>
  <si>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</si>
  <si>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</si>
  <si>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</si>
  <si>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</si>
  <si>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</si>
  <si>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</si>
  <si>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</si>
  <si>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</si>
  <si>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</si>
  <si>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</si>
  <si>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</si>
  <si>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</si>
  <si>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</si>
  <si>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</si>
  <si>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</si>
  <si>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</si>
  <si>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</si>
  <si>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</si>
  <si>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</si>
  <si>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</si>
  <si>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</si>
  <si>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</si>
  <si>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</si>
  <si>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</si>
  <si>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</si>
  <si>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</si>
  <si>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</si>
  <si>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</si>
  <si>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</si>
  <si>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</si>
  <si>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</si>
  <si>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</si>
  <si>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</si>
  <si>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</si>
  <si>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</si>
  <si>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</si>
  <si>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</si>
  <si>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</si>
  <si>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</si>
  <si>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</si>
  <si>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</si>
  <si>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</si>
  <si>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</si>
  <si>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</si>
  <si>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</si>
  <si>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</si>
  <si>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</si>
  <si>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</si>
  <si>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</si>
  <si>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</si>
  <si>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</si>
  <si>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</si>
  <si>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</si>
  <si>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</si>
  <si>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</si>
  <si>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</si>
  <si>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</si>
  <si>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</si>
  <si>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</si>
  <si>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</si>
  <si>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</si>
  <si>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</si>
  <si>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</si>
  <si>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</si>
  <si>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</si>
  <si>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</si>
  <si>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</si>
  <si>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</si>
  <si>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</si>
  <si>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</si>
  <si>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</si>
  <si>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</si>
  <si>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</si>
  <si>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</si>
  <si>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</si>
  <si>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</si>
  <si>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</si>
  <si>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</si>
  <si>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</si>
  <si>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</si>
  <si>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</si>
  <si>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</si>
  <si>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</si>
  <si>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</si>
  <si>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</si>
  <si>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</si>
  <si>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</si>
  <si>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</si>
  <si>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</si>
  <si>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</si>
  <si>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</si>
  <si>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</si>
  <si>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</si>
  <si>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</si>
  <si>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</si>
  <si>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</si>
  <si>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</si>
  <si>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</si>
  <si>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</si>
  <si>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</si>
  <si>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</si>
  <si>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</si>
  <si>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</si>
  <si>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</si>
  <si>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</si>
  <si>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</si>
  <si>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</si>
  <si>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</si>
  <si>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</si>
  <si>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</si>
  <si>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</si>
  <si>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</si>
  <si>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</si>
  <si>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</si>
  <si>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</si>
  <si>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</si>
  <si>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</si>
  <si>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</si>
  <si>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</si>
  <si>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</si>
  <si>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</si>
  <si>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</si>
  <si>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</si>
  <si>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</si>
  <si>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</si>
  <si>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</si>
  <si>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</si>
  <si>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</si>
  <si>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</si>
  <si>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</si>
  <si>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</si>
  <si>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</si>
  <si>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</si>
  <si>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</si>
  <si>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</si>
  <si>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</si>
  <si>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</si>
  <si>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</si>
  <si>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</si>
  <si>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</si>
  <si>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</si>
  <si>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</si>
  <si>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</si>
  <si>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</si>
  <si>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</si>
  <si>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</si>
  <si>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</si>
  <si>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</si>
  <si>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</si>
  <si>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</si>
  <si>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</si>
  <si>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</si>
  <si>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</si>
  <si>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</si>
  <si>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</si>
  <si>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</si>
  <si>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</si>
  <si>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</si>
  <si>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</si>
  <si>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</si>
  <si>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</si>
  <si>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</si>
  <si>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</si>
  <si>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</si>
  <si>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</si>
  <si>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</si>
  <si>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</si>
  <si>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</si>
  <si>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</si>
  <si>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</si>
  <si>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</si>
  <si>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</si>
  <si>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</si>
  <si>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</si>
  <si>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</si>
  <si>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</si>
  <si>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</si>
  <si>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</si>
  <si>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</si>
  <si>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</si>
  <si>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</si>
  <si>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</si>
  <si>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</si>
  <si>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</si>
  <si>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</si>
  <si>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</si>
  <si>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</si>
  <si>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</si>
  <si>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</si>
  <si>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</si>
  <si>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</si>
  <si>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</si>
  <si>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</si>
  <si>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</si>
  <si>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</si>
  <si>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</si>
  <si>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</si>
  <si>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</si>
  <si>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</si>
  <si>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</si>
  <si>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</si>
  <si>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</si>
  <si>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</si>
  <si>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</si>
  <si>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</si>
  <si>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</si>
  <si>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</si>
  <si>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</si>
  <si>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</si>
  <si>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</si>
  <si>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</si>
  <si>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</si>
  <si>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</si>
  <si>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</si>
  <si>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</si>
  <si>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</si>
  <si>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</si>
  <si>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</si>
  <si>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</si>
  <si>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</si>
  <si>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</si>
  <si>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</si>
  <si>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</si>
  <si>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</si>
  <si>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</si>
  <si>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</si>
  <si>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</si>
  <si>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</si>
  <si>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</si>
  <si>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</si>
  <si>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</si>
  <si>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</si>
  <si>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</si>
  <si>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</si>
  <si>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</si>
  <si>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</si>
  <si>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</si>
  <si>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</si>
  <si>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</si>
  <si>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</si>
  <si>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</si>
  <si>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</si>
  <si>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</si>
  <si>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</si>
  <si>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</si>
  <si>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</si>
  <si>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</si>
  <si>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</si>
  <si>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</si>
  <si>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</si>
  <si>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</si>
  <si>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</si>
  <si>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</si>
  <si>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</si>
  <si>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</si>
  <si>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</si>
  <si>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</si>
  <si>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</si>
  <si>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</si>
  <si>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</si>
  <si>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</si>
  <si>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</si>
  <si>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</si>
  <si>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</si>
  <si>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</si>
  <si>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</si>
  <si>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</si>
  <si>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</si>
  <si>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</si>
  <si>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</si>
  <si>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</si>
  <si>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</si>
  <si>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</si>
  <si>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</si>
  <si>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</si>
  <si>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</si>
  <si>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</si>
  <si>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</si>
  <si>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</si>
  <si>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</si>
  <si>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</si>
  <si>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</si>
  <si>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</si>
  <si>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</si>
  <si>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</si>
  <si>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</si>
  <si>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</si>
  <si>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</si>
  <si>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</si>
  <si>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</si>
  <si>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</si>
  <si>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</si>
  <si>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</si>
  <si>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</si>
  <si>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</si>
  <si>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</si>
  <si>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</si>
  <si>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</si>
  <si>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</si>
  <si>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</si>
  <si>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</si>
  <si>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</si>
  <si>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</si>
  <si>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</si>
  <si>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</si>
  <si>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</si>
  <si>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</si>
  <si>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</si>
  <si>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</si>
  <si>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</si>
  <si>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</si>
  <si>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</si>
  <si>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</si>
  <si>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</si>
  <si>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</si>
  <si>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</si>
  <si>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</si>
  <si>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</si>
  <si>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</si>
  <si>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</si>
  <si>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</si>
  <si>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</si>
  <si>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</si>
  <si>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</si>
  <si>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</si>
  <si>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</si>
  <si>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</si>
  <si>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</si>
  <si>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</si>
  <si>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</si>
  <si>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</si>
  <si>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</si>
  <si>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</si>
  <si>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</si>
  <si>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</si>
  <si>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</si>
  <si>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</si>
  <si>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</si>
  <si>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</si>
  <si>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</si>
  <si>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</si>
  <si>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</si>
  <si>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</si>
  <si>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</si>
  <si>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</si>
  <si>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</si>
  <si>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</si>
  <si>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</si>
  <si>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</si>
  <si>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</si>
  <si>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</si>
  <si>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</si>
  <si>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</si>
  <si>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</si>
  <si>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</si>
  <si>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</si>
  <si>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</si>
  <si>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</si>
  <si>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</si>
  <si>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</si>
  <si>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</si>
  <si>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</si>
  <si>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</si>
  <si>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</si>
  <si>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</si>
  <si>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</si>
  <si>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</si>
  <si>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</si>
  <si>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</si>
  <si>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</si>
  <si>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</si>
  <si>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</si>
  <si>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</si>
  <si>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</si>
  <si>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</si>
  <si>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</si>
  <si>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</si>
  <si>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</si>
  <si>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</si>
  <si>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</si>
  <si>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</si>
  <si>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</si>
  <si>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</si>
  <si>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</si>
  <si>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</si>
  <si>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</si>
  <si>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</si>
  <si>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</si>
  <si>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</si>
  <si>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</si>
  <si>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</si>
  <si>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</si>
  <si>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</si>
  <si>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</si>
  <si>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</si>
  <si>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</si>
  <si>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</si>
  <si>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</si>
  <si>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</si>
  <si>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</si>
  <si>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</si>
  <si>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</si>
  <si>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</si>
  <si>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</si>
  <si>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</si>
  <si>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</si>
  <si>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</si>
  <si>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</si>
  <si>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</si>
  <si>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</si>
  <si>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</si>
  <si>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</si>
  <si>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</si>
  <si>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</si>
  <si>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</si>
  <si>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</si>
  <si>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</si>
  <si>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</si>
  <si>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</si>
  <si>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</si>
  <si>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</si>
  <si>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</si>
  <si>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</si>
  <si>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</si>
  <si>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</si>
  <si>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</si>
  <si>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</si>
  <si>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</si>
  <si>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</si>
  <si>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</si>
  <si>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</si>
  <si>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</si>
  <si>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</si>
  <si>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</si>
  <si>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</si>
  <si>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</si>
  <si>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</si>
  <si>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</si>
  <si>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</si>
  <si>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</si>
  <si>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</si>
  <si>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</si>
  <si>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</si>
  <si>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</si>
  <si>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</si>
  <si>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</si>
  <si>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</si>
  <si>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</si>
  <si>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</si>
  <si>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</si>
  <si>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</si>
  <si>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</si>
  <si>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</si>
  <si>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</si>
  <si>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</si>
  <si>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</si>
  <si>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</si>
  <si>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</si>
  <si>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</si>
  <si>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</si>
  <si>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</si>
  <si>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</si>
  <si>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</si>
  <si>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</si>
  <si>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</si>
  <si>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</si>
  <si>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</si>
  <si>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</si>
  <si>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</si>
  <si>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</si>
  <si>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</si>
  <si>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</si>
  <si>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</si>
  <si>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</si>
  <si>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</si>
  <si>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</si>
  <si>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</si>
  <si>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</si>
  <si>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</si>
  <si>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</si>
  <si>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</si>
  <si>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</si>
  <si>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</si>
  <si>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</si>
  <si>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</si>
  <si>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</si>
  <si>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</si>
  <si>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</si>
  <si>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</si>
  <si>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</si>
  <si>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</si>
  <si>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</si>
  <si>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</si>
  <si>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</si>
  <si>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</si>
  <si>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</si>
  <si>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</si>
  <si>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</si>
  <si>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</si>
  <si>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</si>
  <si>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</si>
  <si>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</si>
  <si>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</si>
  <si>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</si>
  <si>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</si>
  <si>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</si>
  <si>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</si>
  <si>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</si>
  <si>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</si>
  <si>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</si>
  <si>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</si>
  <si>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</si>
  <si>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</si>
  <si>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</si>
  <si>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</si>
  <si>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</si>
  <si>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</si>
  <si>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</si>
  <si>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</si>
  <si>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</si>
  <si>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</si>
  <si>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</si>
  <si>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</si>
  <si>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</si>
  <si>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</si>
  <si>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</si>
  <si>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</si>
  <si>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</si>
  <si>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</si>
  <si>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</si>
  <si>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</si>
  <si>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</si>
  <si>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</si>
  <si>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</si>
  <si>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</si>
  <si>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</si>
  <si>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</si>
  <si>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</si>
  <si>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</si>
  <si>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</si>
  <si>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</si>
  <si>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</si>
  <si>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</si>
  <si>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</si>
  <si>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</si>
  <si>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</si>
  <si>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</si>
  <si>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</si>
  <si>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</si>
  <si>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</si>
  <si>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</si>
  <si>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</si>
  <si>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</si>
  <si>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</si>
  <si>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</si>
  <si>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</si>
  <si>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</si>
  <si>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</si>
  <si>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</si>
  <si>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</si>
  <si>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</si>
  <si>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</si>
  <si>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</si>
  <si>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</si>
  <si>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</si>
  <si>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</si>
  <si>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</si>
  <si>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</si>
  <si>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</si>
  <si>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</si>
  <si>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</si>
  <si>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</si>
  <si>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</si>
  <si>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</si>
  <si>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</si>
  <si>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</si>
  <si>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</si>
  <si>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</si>
  <si>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</si>
  <si>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</si>
  <si>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</si>
  <si>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</si>
  <si>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</si>
  <si>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</si>
  <si>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</si>
  <si>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</si>
  <si>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</si>
  <si>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</si>
  <si>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</si>
  <si>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</si>
  <si>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</si>
  <si>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</si>
  <si>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</si>
  <si>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</si>
  <si>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</si>
  <si>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</si>
  <si>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</si>
  <si>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</si>
  <si>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</si>
  <si>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</si>
  <si>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</si>
  <si>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</si>
  <si>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</si>
  <si>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</si>
  <si>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</si>
  <si>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</si>
  <si>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</si>
  <si>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</si>
  <si>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</si>
  <si>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</si>
  <si>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</si>
  <si>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</si>
  <si>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</si>
  <si>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</si>
  <si>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</si>
  <si>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</si>
  <si>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</si>
  <si>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</si>
  <si>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</si>
  <si>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</si>
  <si>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</si>
  <si>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</si>
  <si>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</si>
  <si>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</si>
  <si>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</si>
  <si>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</si>
  <si>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</si>
  <si>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</si>
  <si>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</si>
  <si>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</si>
  <si>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</si>
  <si>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</si>
  <si>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</si>
  <si>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</si>
  <si>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</si>
  <si>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</si>
  <si>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</si>
  <si>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</si>
  <si>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</si>
  <si>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</si>
  <si>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</si>
  <si>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</si>
  <si>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</si>
  <si>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</si>
  <si>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</si>
  <si>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</si>
  <si>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</si>
  <si>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</si>
  <si>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</si>
  <si>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</si>
  <si>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</si>
  <si>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</si>
  <si>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</si>
  <si>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</si>
  <si>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</si>
  <si>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</si>
  <si>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</si>
  <si>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</si>
  <si>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</si>
  <si>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</si>
  <si>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</si>
  <si>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</si>
  <si>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</si>
  <si>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</si>
  <si>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</si>
  <si>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</si>
  <si>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</si>
  <si>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</si>
  <si>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</si>
  <si>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</si>
  <si>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</si>
  <si>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</si>
  <si>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</si>
  <si>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</si>
  <si>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</si>
  <si>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</si>
  <si>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</si>
  <si>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</si>
  <si>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</si>
  <si>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</si>
  <si>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</si>
  <si>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</si>
  <si>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</si>
  <si>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</si>
  <si>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</si>
  <si>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</si>
  <si>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</si>
  <si>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</si>
  <si>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</si>
  <si>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</si>
  <si>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</si>
  <si>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</si>
  <si>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</si>
  <si>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</si>
  <si>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</si>
  <si>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</si>
  <si>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</si>
  <si>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</si>
  <si>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</si>
  <si>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</si>
  <si>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</si>
  <si>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</si>
  <si>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</si>
  <si>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</si>
  <si>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</si>
  <si>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</si>
  <si>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</si>
  <si>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</si>
  <si>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</si>
  <si>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</si>
  <si>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</si>
  <si>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</si>
  <si>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</si>
  <si>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</si>
  <si>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</si>
  <si>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</si>
  <si>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</si>
  <si>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</si>
  <si>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</si>
  <si>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</si>
  <si>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</si>
  <si>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</si>
  <si>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</si>
  <si>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</si>
  <si>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</si>
  <si>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</si>
  <si>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</si>
  <si>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</si>
  <si>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</si>
  <si>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</si>
  <si>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</si>
  <si>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</si>
  <si>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</si>
  <si>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</si>
  <si>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</si>
  <si>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</si>
  <si>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</si>
  <si>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</si>
  <si>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</si>
  <si>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</si>
  <si>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</si>
  <si>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</si>
  <si>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</si>
  <si>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</si>
  <si>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</si>
  <si>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</si>
  <si>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</si>
  <si>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</si>
  <si>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</si>
  <si>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</si>
  <si>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</si>
  <si>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</si>
  <si>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</si>
  <si>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</si>
  <si>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</si>
  <si>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</si>
  <si>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</si>
  <si>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</si>
  <si>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</si>
  <si>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</si>
  <si>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</si>
  <si>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</si>
  <si>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</si>
  <si>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</si>
  <si>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</si>
  <si>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</si>
  <si>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</si>
  <si>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</si>
  <si>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</si>
  <si>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</si>
  <si>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</si>
  <si>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</si>
  <si>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</si>
  <si>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</si>
  <si>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</si>
  <si>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</si>
  <si>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</si>
  <si>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</si>
  <si>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</si>
  <si>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</si>
  <si>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</si>
  <si>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</si>
  <si>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</si>
  <si>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</si>
  <si>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</si>
  <si>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</si>
  <si>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</si>
  <si>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</si>
  <si>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</si>
  <si>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</si>
  <si>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</si>
  <si>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</si>
  <si>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</si>
  <si>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</si>
  <si>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</si>
  <si>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</si>
  <si>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</si>
  <si>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</si>
  <si>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</si>
  <si>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</si>
  <si>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</si>
  <si>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</si>
  <si>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</si>
  <si>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</si>
  <si>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</si>
  <si>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</si>
  <si>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</si>
  <si>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</si>
  <si>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</si>
  <si>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</si>
  <si>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</si>
  <si>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</si>
  <si>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</si>
  <si>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</si>
  <si>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</si>
  <si>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</si>
  <si>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</si>
  <si>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</si>
  <si>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</si>
  <si>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</si>
  <si>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</si>
  <si>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</si>
  <si>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</si>
  <si>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</si>
  <si>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</si>
  <si>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</si>
  <si>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</si>
  <si>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</si>
  <si>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</si>
  <si>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</si>
  <si>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</si>
  <si>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</si>
  <si>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</si>
  <si>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</si>
  <si>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</si>
  <si>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</si>
  <si>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</si>
  <si>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</si>
  <si>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</si>
  <si>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</si>
  <si>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</si>
  <si>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</si>
  <si>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</si>
  <si>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</si>
  <si>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</si>
  <si>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</si>
  <si>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</si>
  <si>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</si>
  <si>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</si>
  <si>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</si>
  <si>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</si>
  <si>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</si>
  <si>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</si>
  <si>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</si>
  <si>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</si>
  <si>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</si>
  <si>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</si>
  <si>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</si>
  <si>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</si>
  <si>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</si>
  <si>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</si>
  <si>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</si>
  <si>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</si>
  <si>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</si>
  <si>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</si>
  <si>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</si>
  <si>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</si>
  <si>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</si>
  <si>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</si>
  <si>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</si>
  <si>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</si>
  <si>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</si>
  <si>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</si>
  <si>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</si>
  <si>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</si>
  <si>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</si>
  <si>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</si>
  <si>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</si>
  <si>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</si>
  <si>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</si>
  <si>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</si>
  <si>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</si>
  <si>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</si>
  <si>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</si>
  <si>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</si>
  <si>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</si>
  <si>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</si>
  <si>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</si>
  <si>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</si>
  <si>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</si>
  <si>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</si>
  <si>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</si>
  <si>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</si>
  <si>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</si>
  <si>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</si>
  <si>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</si>
  <si>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</si>
  <si>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</si>
  <si>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</si>
  <si>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</si>
  <si>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</si>
  <si>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</si>
  <si>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</si>
  <si>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</si>
  <si>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</si>
  <si>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</si>
  <si>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</si>
  <si>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</si>
  <si>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</si>
  <si>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</si>
  <si>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</si>
  <si>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</si>
  <si>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</si>
  <si>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</si>
  <si>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</si>
  <si>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</si>
  <si>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</si>
  <si>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</si>
  <si>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</si>
  <si>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</si>
  <si>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</si>
  <si>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</si>
  <si>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</si>
  <si>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</si>
  <si>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</si>
  <si>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</si>
  <si>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</si>
  <si>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</si>
  <si>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</si>
  <si>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</si>
  <si>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</si>
  <si>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</si>
  <si>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</si>
  <si>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</si>
  <si>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</si>
  <si>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</si>
  <si>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</si>
  <si>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</si>
  <si>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</si>
  <si>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</si>
  <si>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</si>
  <si>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</si>
  <si>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</si>
  <si>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</si>
  <si>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</si>
  <si>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</si>
  <si>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</si>
  <si>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</si>
  <si>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</si>
  <si>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</si>
  <si>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</si>
  <si>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</si>
  <si>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</si>
  <si>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</si>
  <si>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</si>
  <si>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</si>
  <si>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</si>
  <si>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</si>
  <si>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</si>
  <si>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</si>
  <si>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</si>
  <si>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</si>
  <si>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</si>
  <si>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</si>
  <si>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</si>
  <si>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</si>
  <si>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</si>
  <si>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</si>
  <si>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</si>
  <si>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</si>
  <si>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</si>
  <si>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</si>
  <si>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</si>
  <si>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</si>
  <si>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</si>
  <si>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</si>
  <si>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</si>
  <si>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</si>
  <si>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</si>
  <si>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</si>
  <si>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</si>
  <si>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</si>
  <si>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</si>
  <si>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</si>
  <si>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</si>
  <si>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</si>
  <si>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</si>
  <si>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</si>
  <si>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</si>
  <si>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</si>
  <si>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</si>
  <si>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</si>
  <si>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</si>
  <si>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</si>
  <si>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</si>
  <si>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</si>
  <si>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</si>
  <si>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</si>
  <si>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</si>
  <si>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</si>
  <si>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</si>
  <si>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</si>
  <si>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</si>
  <si>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</si>
  <si>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</si>
  <si>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</si>
  <si>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</si>
  <si>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</si>
  <si>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</si>
  <si>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</si>
  <si>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</si>
  <si>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</si>
  <si>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</si>
  <si>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</si>
  <si>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</si>
  <si>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</si>
  <si>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</si>
  <si>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</si>
  <si>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</si>
  <si>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</si>
  <si>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</si>
  <si>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</si>
  <si>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</si>
  <si>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</si>
  <si>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</si>
  <si>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</si>
  <si>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</si>
  <si>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</si>
  <si>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</si>
  <si>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</si>
  <si>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</si>
  <si>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</si>
  <si>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</si>
  <si>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</si>
  <si>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</si>
  <si>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</si>
  <si>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</si>
  <si>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</si>
  <si>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</si>
  <si>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</si>
  <si>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</si>
  <si>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</si>
  <si>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</si>
  <si>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</si>
  <si>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</si>
  <si>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</si>
  <si>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</si>
  <si>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</si>
  <si>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</si>
  <si>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</si>
  <si>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</si>
  <si>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</si>
  <si>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</si>
  <si>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</si>
  <si>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</si>
  <si>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</si>
  <si>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</si>
  <si>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</si>
  <si>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</si>
  <si>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</si>
  <si>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</si>
  <si>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</si>
  <si>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</si>
  <si>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</si>
  <si>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</si>
  <si>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</si>
  <si>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</si>
  <si>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</si>
  <si>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</si>
  <si>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</si>
  <si>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</si>
  <si>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</si>
  <si>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</si>
  <si>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</si>
  <si>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</si>
  <si>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</si>
  <si>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</si>
  <si>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</si>
  <si>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</si>
  <si>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</si>
  <si>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</si>
  <si>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</si>
  <si>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</si>
  <si>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</si>
  <si>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</si>
  <si>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</si>
  <si>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</si>
  <si>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</si>
  <si>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</si>
  <si>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</si>
  <si>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</si>
  <si>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</si>
  <si>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</si>
  <si>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</si>
  <si>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</si>
  <si>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</si>
  <si>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</si>
  <si>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</si>
  <si>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</si>
  <si>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</si>
  <si>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</si>
  <si>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</si>
  <si>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</si>
  <si>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</si>
  <si>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</si>
  <si>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</si>
  <si>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</si>
  <si>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</si>
  <si>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</si>
  <si>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</si>
  <si>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</si>
  <si>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</si>
  <si>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</si>
  <si>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</si>
  <si>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</si>
  <si>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</si>
  <si>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</si>
  <si>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</si>
  <si>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</si>
  <si>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</si>
  <si>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</si>
  <si>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</si>
  <si>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</si>
  <si>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</si>
  <si>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</si>
  <si>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</si>
  <si>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</si>
  <si>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</si>
  <si>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</si>
  <si>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</si>
  <si>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</si>
  <si>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</si>
  <si>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</si>
  <si>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</si>
  <si>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</si>
  <si>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</si>
  <si>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</si>
  <si>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</si>
  <si>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</si>
  <si>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</si>
  <si>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</si>
  <si>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</si>
  <si>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</si>
  <si>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</si>
  <si>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</si>
  <si>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</si>
  <si>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</si>
  <si>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</si>
  <si>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</si>
  <si>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</si>
  <si>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</si>
  <si>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</si>
  <si>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</si>
  <si>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</si>
  <si>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</si>
  <si>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</si>
  <si>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</si>
  <si>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</si>
  <si>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</si>
  <si>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</si>
  <si>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</si>
  <si>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</si>
  <si>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</si>
  <si>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</si>
  <si>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</si>
  <si>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</si>
  <si>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</si>
  <si>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</si>
  <si>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</si>
  <si>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</si>
  <si>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</si>
  <si>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</si>
  <si>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</si>
  <si>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</si>
  <si>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</si>
  <si>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</si>
  <si>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</si>
  <si>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</si>
  <si>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</si>
  <si>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</si>
  <si>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</si>
  <si>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</si>
  <si>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</si>
  <si>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</si>
  <si>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</si>
  <si>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</si>
  <si>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</si>
  <si>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</si>
  <si>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</si>
  <si>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</si>
  <si>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</si>
  <si>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</si>
  <si>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</si>
  <si>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</si>
  <si>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</si>
  <si>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</si>
  <si>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</si>
  <si>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</si>
  <si>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</si>
  <si>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</si>
  <si>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</si>
  <si>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</si>
  <si>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</si>
  <si>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</si>
  <si>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</si>
  <si>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</si>
  <si>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</si>
  <si>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</si>
  <si>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</si>
  <si>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</si>
  <si>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</si>
  <si>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</si>
  <si>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</si>
  <si>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</si>
  <si>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</si>
  <si>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</si>
  <si>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</si>
  <si>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</si>
  <si>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</si>
  <si>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</si>
  <si>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</si>
  <si>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</si>
  <si>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</si>
  <si>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</si>
  <si>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</si>
  <si>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</si>
  <si>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</si>
  <si>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</si>
  <si>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</si>
  <si>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</si>
  <si>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</si>
  <si>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</si>
  <si>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</si>
  <si>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</si>
  <si>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</si>
  <si>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</si>
  <si>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</si>
  <si>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</si>
  <si>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</si>
  <si>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</si>
  <si>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</si>
  <si>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</si>
  <si>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</si>
  <si>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</si>
  <si>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</si>
  <si>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</si>
  <si>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</si>
  <si>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</si>
  <si>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</si>
  <si>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</si>
  <si>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</si>
  <si>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</si>
  <si>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</si>
  <si>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</si>
  <si>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</si>
  <si>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</si>
  <si>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</si>
  <si>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</si>
  <si>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</si>
  <si>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</si>
  <si>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</si>
  <si>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</si>
  <si>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</si>
  <si>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</si>
  <si>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</si>
  <si>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</si>
  <si>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</si>
  <si>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</si>
  <si>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</si>
  <si>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</si>
  <si>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</si>
  <si>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</si>
  <si>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</si>
  <si>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</si>
  <si>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</si>
  <si>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</si>
  <si>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</si>
  <si>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</si>
  <si>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</si>
  <si>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</si>
  <si>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</si>
  <si>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</si>
  <si>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</si>
  <si>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</si>
  <si>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</si>
  <si>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</si>
  <si>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</si>
  <si>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</si>
  <si>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</si>
  <si>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</si>
  <si>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</si>
  <si>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</si>
  <si>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</si>
  <si>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</si>
  <si>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</si>
  <si>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</si>
  <si>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</si>
  <si>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</si>
  <si>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</si>
  <si>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</si>
  <si>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</si>
  <si>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</si>
  <si>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</si>
  <si>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</si>
  <si>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</si>
  <si>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</si>
  <si>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</si>
  <si>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</si>
  <si>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</si>
  <si>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</si>
  <si>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</si>
  <si>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</si>
  <si>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</si>
  <si>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</si>
  <si>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</si>
  <si>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</si>
  <si>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</si>
  <si>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</si>
  <si>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</si>
  <si>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</si>
  <si>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</si>
  <si>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</si>
  <si>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</si>
  <si>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</si>
  <si>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</si>
  <si>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</si>
  <si>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</si>
  <si>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</si>
  <si>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</si>
  <si>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</si>
  <si>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</si>
  <si>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</si>
  <si>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</si>
  <si>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</si>
  <si>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</si>
  <si>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</si>
  <si>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</si>
  <si>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</si>
  <si>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</si>
  <si>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</si>
  <si>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</si>
  <si>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</si>
  <si>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</si>
  <si>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</si>
  <si>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</si>
  <si>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</si>
  <si>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</si>
  <si>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</si>
  <si>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</si>
  <si>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</si>
  <si>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</si>
  <si>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</si>
  <si>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</si>
  <si>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</si>
  <si>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</si>
  <si>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</si>
  <si>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</si>
  <si>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</si>
  <si>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</si>
  <si>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</si>
  <si>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</si>
  <si>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</si>
  <si>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</si>
  <si>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</si>
  <si>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</si>
  <si>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</si>
  <si>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</si>
  <si>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</si>
  <si>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</si>
  <si>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</si>
  <si>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</si>
  <si>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</si>
  <si>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</si>
  <si>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</si>
  <si>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</si>
  <si>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</si>
  <si>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</si>
  <si>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</si>
  <si>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</si>
  <si>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</si>
  <si>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</si>
  <si>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</si>
  <si>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</si>
  <si>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</si>
  <si>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</si>
  <si>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</si>
  <si>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</si>
  <si>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</si>
  <si>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</si>
  <si>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</si>
  <si>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</si>
  <si>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</si>
  <si>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</si>
  <si>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</si>
  <si>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</si>
  <si>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</si>
  <si>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</si>
  <si>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</si>
  <si>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</si>
  <si>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</si>
  <si>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</si>
  <si>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</si>
  <si>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</si>
  <si>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</si>
  <si>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</si>
  <si>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</si>
  <si>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</si>
  <si>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</si>
  <si>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</si>
  <si>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</si>
  <si>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</si>
  <si>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</si>
  <si>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</si>
  <si>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</si>
  <si>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</si>
  <si>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</si>
  <si>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</si>
  <si>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</si>
  <si>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</si>
  <si>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</si>
  <si>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</si>
  <si>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</si>
  <si>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</si>
  <si>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</si>
  <si>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</si>
  <si>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</si>
  <si>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</si>
  <si>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</si>
  <si>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</si>
  <si>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</si>
  <si>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</si>
  <si>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</si>
  <si>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</si>
  <si>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</si>
  <si>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</si>
  <si>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</si>
  <si>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</si>
  <si>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</si>
  <si>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</si>
  <si>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</si>
  <si>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</si>
  <si>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</si>
  <si>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</si>
  <si>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</si>
  <si>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</si>
  <si>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</si>
  <si>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</si>
  <si>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</si>
  <si>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</si>
  <si>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</si>
  <si>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</si>
  <si>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</si>
  <si>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</si>
  <si>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</si>
  <si>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</si>
  <si>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</si>
  <si>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</si>
  <si>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</si>
  <si>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</si>
  <si>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</si>
  <si>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</si>
  <si>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</si>
  <si>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</si>
  <si>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</si>
  <si>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</si>
  <si>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</si>
  <si>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</si>
  <si>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</si>
  <si>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</si>
  <si>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</si>
  <si>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</si>
  <si>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</si>
  <si>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</si>
  <si>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</si>
  <si>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</si>
  <si>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</si>
  <si>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</si>
  <si>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</si>
  <si>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</si>
  <si>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</si>
  <si>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</si>
  <si>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</si>
  <si>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</si>
  <si>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</si>
  <si>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</si>
  <si>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</si>
  <si>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</si>
  <si>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</si>
  <si>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</si>
  <si>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</si>
  <si>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</si>
  <si>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</si>
  <si>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</si>
  <si>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</si>
  <si>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</si>
  <si>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</si>
  <si>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</si>
  <si>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</si>
  <si>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</si>
  <si>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</si>
  <si>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</si>
  <si>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</si>
  <si>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</si>
  <si>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</si>
  <si>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</si>
  <si>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</si>
  <si>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</si>
  <si>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</si>
  <si>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</si>
  <si>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</si>
  <si>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</si>
  <si>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</si>
  <si>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</si>
  <si>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</si>
  <si>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</si>
  <si>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</si>
  <si>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</si>
  <si>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</si>
  <si>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</si>
  <si>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</si>
  <si>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</si>
  <si>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</si>
  <si>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</si>
  <si>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</si>
  <si>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</si>
  <si>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</si>
  <si>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</si>
  <si>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</si>
  <si>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</si>
  <si>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</si>
  <si>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</si>
  <si>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</si>
  <si>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</si>
  <si>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</si>
  <si>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</si>
  <si>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</si>
  <si>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</si>
  <si>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</si>
  <si>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</si>
  <si>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</si>
  <si>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</si>
  <si>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</si>
  <si>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</si>
  <si>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</si>
  <si>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</si>
  <si>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</si>
  <si>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</si>
  <si>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</si>
  <si>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</si>
  <si>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</si>
  <si>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</si>
  <si>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</si>
  <si>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</si>
  <si>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</si>
  <si>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</si>
  <si>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</si>
  <si>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</si>
  <si>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</si>
  <si>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</si>
  <si>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</si>
  <si>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</si>
  <si>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</si>
  <si>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</si>
  <si>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</si>
  <si>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</si>
  <si>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</si>
  <si>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</si>
  <si>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</si>
  <si>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</si>
  <si>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</si>
  <si>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</si>
  <si>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</si>
  <si>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</si>
  <si>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</si>
  <si>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</si>
  <si>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</si>
  <si>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</si>
  <si>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</si>
  <si>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</si>
  <si>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</si>
  <si>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</si>
  <si>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</si>
  <si>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</si>
  <si>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</si>
  <si>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</si>
  <si>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</si>
  <si>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</si>
  <si>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</si>
  <si>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</si>
  <si>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</si>
  <si>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</si>
  <si>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</si>
  <si>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</si>
  <si>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</si>
  <si>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</si>
  <si>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</si>
  <si>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</si>
  <si>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</si>
  <si>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</si>
  <si>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</si>
  <si>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</si>
  <si>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</si>
  <si>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</si>
  <si>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</si>
  <si>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</si>
  <si>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</si>
  <si>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</si>
  <si>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</si>
  <si>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</si>
  <si>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</si>
  <si>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</si>
  <si>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</si>
  <si>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</si>
  <si>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</si>
  <si>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</si>
  <si>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</si>
  <si>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</si>
  <si>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</si>
  <si>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</si>
  <si>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</si>
  <si>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</si>
  <si>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</si>
  <si>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</si>
  <si>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</si>
  <si>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</si>
  <si>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</si>
  <si>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</si>
  <si>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</si>
  <si>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</si>
  <si>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</si>
  <si>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</si>
  <si>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</si>
  <si>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</si>
  <si>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</si>
  <si>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</si>
  <si>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</si>
  <si>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</si>
  <si>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</si>
  <si>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</si>
  <si>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</si>
  <si>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</si>
  <si>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</si>
  <si>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</si>
  <si>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</si>
  <si>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</si>
  <si>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</si>
  <si>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</si>
  <si>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</si>
  <si>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</si>
  <si>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</si>
  <si>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</si>
  <si>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</si>
  <si>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</si>
  <si>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</si>
  <si>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</si>
  <si>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</si>
  <si>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</si>
  <si>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</si>
  <si>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</si>
  <si>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</si>
  <si>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</si>
  <si>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</si>
  <si>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</si>
  <si>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</si>
  <si>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</si>
  <si>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</si>
  <si>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</si>
  <si>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</si>
  <si>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</si>
  <si>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</si>
  <si>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</si>
  <si>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</si>
  <si>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</si>
  <si>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</si>
  <si>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</si>
  <si>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</si>
  <si>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</si>
  <si>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</si>
  <si>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</si>
  <si>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</si>
  <si>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</si>
  <si>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</si>
  <si>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</si>
  <si>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</si>
  <si>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</si>
  <si>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</si>
  <si>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</si>
  <si>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</si>
  <si>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</si>
  <si>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</si>
  <si>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</si>
  <si>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</si>
  <si>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</si>
  <si>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</si>
  <si>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</si>
  <si>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</si>
  <si>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</si>
  <si>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</si>
  <si>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</si>
  <si>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</si>
  <si>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</si>
  <si>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</si>
  <si>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</si>
  <si>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</si>
  <si>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</si>
  <si>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</si>
  <si>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</si>
  <si>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</si>
  <si>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</si>
  <si>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</si>
  <si>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</si>
  <si>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</si>
  <si>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</si>
  <si>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</si>
  <si>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</si>
  <si>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</si>
  <si>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</si>
  <si>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</si>
  <si>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</si>
  <si>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</si>
  <si>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</si>
  <si>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</si>
  <si>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</si>
  <si>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</si>
  <si>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</si>
  <si>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</si>
  <si>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</si>
  <si>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</si>
  <si>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</si>
  <si>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</si>
  <si>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</si>
  <si>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</si>
  <si>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</si>
  <si>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</si>
  <si>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</si>
  <si>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</si>
  <si>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</si>
  <si>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</si>
  <si>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</si>
  <si>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</si>
  <si>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</si>
  <si>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</si>
  <si>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</si>
  <si>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</si>
  <si>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</si>
  <si>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</si>
  <si>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</si>
  <si>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</si>
  <si>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</si>
  <si>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</si>
  <si>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</si>
  <si>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</si>
  <si>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</si>
  <si>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</si>
  <si>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</si>
  <si>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</si>
  <si>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</si>
  <si>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</si>
  <si>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</si>
  <si>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</si>
  <si>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</si>
  <si>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</si>
  <si>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</si>
  <si>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</si>
  <si>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</si>
  <si>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</si>
  <si>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</si>
  <si>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</si>
  <si>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</si>
  <si>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</si>
  <si>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</si>
  <si>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</si>
  <si>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</si>
  <si>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</si>
  <si>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</si>
  <si>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</si>
  <si>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</si>
  <si>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</si>
  <si>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</si>
  <si>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</si>
  <si>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</si>
  <si>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</si>
  <si>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</si>
  <si>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</si>
  <si>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</si>
  <si>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</si>
  <si>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</si>
  <si>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</si>
  <si>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</si>
  <si>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</si>
  <si>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</si>
  <si>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</si>
  <si>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</si>
  <si>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</si>
  <si>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</si>
  <si>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</si>
  <si>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</si>
  <si>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</si>
  <si>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</si>
  <si>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</si>
  <si>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</si>
  <si>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</si>
  <si>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</si>
  <si>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</si>
  <si>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</si>
  <si>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</si>
  <si>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</si>
  <si>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</si>
  <si>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</si>
  <si>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</si>
  <si>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</si>
  <si>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</si>
  <si>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</si>
  <si>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</si>
  <si>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</si>
  <si>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</si>
  <si>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</si>
  <si>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</si>
  <si>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</si>
  <si>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</si>
  <si>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</si>
  <si>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</si>
  <si>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</si>
  <si>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</si>
  <si>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</si>
  <si>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</si>
  <si>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</si>
  <si>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</si>
  <si>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</si>
  <si>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</si>
  <si>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</si>
  <si>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</si>
  <si>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</si>
  <si>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</si>
  <si>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</si>
  <si>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</si>
  <si>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</si>
  <si>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</si>
  <si>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</si>
  <si>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</si>
  <si>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</si>
  <si>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</si>
  <si>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</si>
  <si>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</si>
  <si>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</si>
  <si>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</si>
  <si>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</si>
  <si>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</si>
  <si>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</si>
  <si>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</si>
  <si>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</si>
  <si>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</si>
  <si>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</si>
  <si>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</si>
  <si>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</si>
  <si>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</si>
  <si>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</si>
  <si>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</si>
  <si>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</si>
  <si>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</si>
  <si>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</si>
  <si>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</si>
  <si>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</si>
  <si>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</si>
  <si>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</si>
  <si>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</si>
  <si>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</si>
  <si>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</si>
  <si>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</si>
  <si>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</si>
  <si>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</si>
  <si>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</si>
  <si>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</si>
  <si>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</si>
  <si>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</si>
  <si>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</si>
  <si>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</si>
  <si>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</si>
  <si>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</si>
  <si>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</si>
  <si>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</si>
  <si>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</si>
  <si>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</si>
  <si>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</si>
  <si>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</si>
  <si>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</si>
  <si>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</si>
  <si>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</si>
  <si>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</si>
  <si>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</si>
  <si>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</si>
  <si>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</si>
  <si>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</si>
  <si>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</si>
  <si>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</si>
  <si>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</si>
  <si>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</si>
  <si>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</si>
  <si>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</si>
  <si>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</si>
  <si>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</si>
  <si>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</si>
  <si>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</si>
  <si>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</si>
  <si>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</si>
  <si>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</si>
  <si>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</si>
  <si>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</si>
  <si>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</si>
  <si>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</si>
  <si>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</si>
  <si>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</si>
  <si>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</si>
  <si>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</si>
  <si>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</si>
  <si>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</si>
  <si>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</si>
  <si>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</si>
  <si>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</si>
  <si>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</si>
  <si>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</si>
  <si>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</si>
  <si>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</si>
  <si>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</si>
  <si>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</si>
  <si>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</si>
  <si>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</si>
  <si>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</si>
  <si>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</si>
  <si>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</si>
  <si>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</si>
  <si>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</si>
  <si>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</si>
  <si>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</si>
  <si>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</si>
  <si>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</si>
  <si>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</si>
  <si>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</si>
  <si>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</si>
  <si>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</si>
  <si>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</si>
  <si>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</si>
  <si>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</si>
  <si>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</si>
  <si>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</si>
  <si>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</si>
  <si>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</si>
  <si>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</si>
  <si>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</si>
  <si>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</si>
  <si>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</si>
  <si>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</si>
  <si>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</si>
  <si>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</si>
  <si>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</si>
  <si>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</si>
  <si>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</si>
  <si>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</si>
  <si>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</si>
  <si>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</si>
  <si>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</si>
  <si>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</si>
  <si>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</si>
  <si>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</si>
  <si>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</si>
  <si>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</si>
  <si>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</si>
  <si>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</si>
  <si>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</si>
  <si>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</si>
  <si>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</si>
  <si>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</si>
  <si>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</si>
  <si>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</si>
  <si>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</si>
  <si>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</si>
  <si>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</si>
  <si>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</si>
  <si>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</si>
  <si>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</si>
  <si>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</si>
  <si>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</si>
  <si>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</si>
  <si>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</si>
  <si>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</si>
  <si>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</si>
  <si>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</si>
  <si>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</si>
  <si>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</si>
  <si>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</si>
  <si>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</si>
  <si>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</si>
  <si>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</si>
  <si>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</si>
  <si>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</si>
  <si>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</si>
  <si>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</si>
  <si>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</si>
  <si>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</si>
  <si>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</si>
  <si>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</si>
  <si>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</si>
  <si>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</si>
  <si>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</si>
  <si>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</si>
  <si>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</si>
  <si>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</si>
  <si>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</si>
  <si>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</si>
  <si>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</si>
  <si>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</si>
  <si>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</si>
  <si>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</si>
  <si>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</si>
  <si>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</si>
  <si>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</si>
  <si>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</si>
  <si>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</si>
  <si>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</si>
  <si>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</si>
  <si>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</si>
  <si>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</si>
  <si>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</si>
  <si>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</si>
  <si>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</si>
  <si>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</si>
  <si>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</si>
  <si>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</si>
  <si>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</si>
  <si>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</si>
  <si>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</si>
  <si>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</si>
  <si>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</si>
  <si>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</si>
  <si>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</si>
  <si>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</si>
  <si>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</si>
  <si>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</si>
  <si>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</si>
  <si>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</si>
  <si>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</si>
  <si>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</si>
  <si>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</si>
  <si>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</si>
  <si>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</si>
  <si>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</si>
  <si>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</si>
  <si>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</si>
  <si>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</si>
  <si>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</si>
  <si>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</si>
  <si>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</si>
  <si>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</si>
  <si>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</si>
  <si>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</si>
  <si>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</si>
  <si>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</si>
  <si>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</si>
  <si>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</si>
  <si>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</si>
  <si>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</si>
  <si>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</si>
  <si>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</si>
  <si>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</si>
  <si>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</si>
  <si>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</si>
  <si>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</si>
  <si>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</si>
  <si>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</si>
  <si>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</si>
  <si>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</si>
  <si>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</si>
  <si>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</si>
  <si>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</si>
  <si>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</si>
  <si>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</si>
  <si>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</si>
  <si>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</si>
  <si>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</si>
  <si>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</si>
  <si>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</si>
  <si>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</si>
  <si>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</si>
  <si>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</si>
  <si>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</si>
  <si>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</si>
  <si>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</si>
  <si>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</si>
  <si>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</si>
  <si>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</si>
  <si>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</si>
  <si>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</si>
  <si>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</si>
  <si>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</si>
  <si>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</si>
  <si>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</si>
  <si>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</si>
  <si>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</si>
  <si>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</si>
  <si>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</si>
  <si>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</si>
  <si>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</si>
  <si>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</si>
  <si>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</si>
  <si>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</si>
  <si>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</si>
  <si>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</si>
  <si>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</si>
  <si>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</si>
  <si>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</si>
  <si>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</si>
  <si>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</si>
  <si>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</si>
  <si>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</si>
  <si>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</si>
  <si>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</si>
  <si>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</si>
  <si>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</si>
  <si>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</si>
  <si>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</si>
  <si>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</si>
  <si>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</si>
  <si>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</si>
  <si>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</si>
  <si>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</si>
  <si>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</si>
  <si>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</si>
  <si>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</si>
  <si>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</si>
  <si>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</si>
  <si>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</si>
  <si>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</si>
  <si>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</si>
  <si>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</si>
  <si>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</si>
  <si>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</si>
  <si>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</si>
  <si>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</si>
  <si>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</si>
  <si>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</si>
  <si>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</si>
  <si>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</si>
  <si>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</si>
  <si>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</si>
  <si>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</si>
  <si>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</si>
  <si>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</si>
  <si>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</si>
  <si>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</si>
  <si>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</si>
  <si>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</si>
  <si>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</si>
  <si>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</si>
  <si>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</si>
  <si>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</si>
  <si>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</si>
  <si>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</si>
  <si>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</si>
  <si>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</si>
  <si>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</si>
  <si>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</si>
  <si>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</si>
  <si>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</si>
  <si>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</si>
  <si>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</si>
  <si>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</si>
  <si>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</si>
  <si>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</si>
  <si>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</si>
  <si>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</si>
  <si>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</si>
  <si>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</si>
  <si>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</si>
  <si>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</si>
  <si>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</si>
  <si>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</si>
  <si>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</si>
  <si>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</si>
  <si>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</si>
  <si>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</si>
  <si>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</si>
  <si>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</si>
  <si>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</si>
  <si>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</si>
  <si>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</si>
  <si>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</si>
  <si>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</si>
  <si>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</si>
  <si>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</si>
  <si>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</si>
  <si>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</si>
  <si>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</si>
  <si>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</si>
  <si>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</si>
  <si>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</si>
  <si>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</si>
  <si>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</si>
  <si>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</si>
  <si>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</si>
  <si>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</si>
  <si>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</si>
  <si>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</si>
  <si>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</si>
  <si>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</si>
  <si>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</si>
  <si>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</si>
  <si>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</si>
  <si>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</si>
  <si>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</si>
  <si>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</si>
  <si>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</si>
  <si>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</si>
  <si>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</si>
  <si>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</si>
  <si>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</si>
  <si>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</si>
  <si>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</si>
  <si>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</si>
  <si>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</si>
  <si>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</si>
  <si>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</si>
  <si>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</si>
  <si>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</si>
  <si>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</si>
  <si>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</si>
  <si>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</si>
  <si>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</si>
  <si>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</si>
  <si>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</si>
  <si>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</si>
  <si>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</si>
  <si>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</si>
  <si>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</si>
  <si>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</si>
  <si>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</si>
  <si>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</si>
  <si>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</si>
  <si>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</si>
  <si>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</si>
  <si>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</si>
  <si>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</si>
  <si>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</si>
  <si>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</si>
  <si>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</si>
  <si>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</si>
  <si>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</si>
  <si>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</si>
  <si>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</si>
  <si>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</si>
  <si>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</si>
  <si>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</si>
  <si>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</si>
  <si>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</si>
  <si>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</si>
  <si>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</si>
  <si>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</si>
  <si>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</si>
  <si>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</si>
  <si>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</si>
  <si>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</si>
  <si>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</si>
  <si>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</si>
  <si>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</si>
  <si>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</si>
  <si>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</si>
  <si>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</si>
  <si>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</si>
  <si>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</si>
  <si>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</si>
  <si>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</si>
  <si>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</si>
  <si>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</si>
  <si>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</si>
  <si>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</si>
  <si>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</si>
  <si>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</si>
  <si>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</si>
  <si>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</si>
  <si>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</si>
  <si>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</si>
  <si>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</si>
  <si>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</si>
  <si>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</si>
  <si>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</si>
  <si>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</si>
  <si>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</si>
  <si>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</si>
  <si>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</si>
  <si>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</si>
  <si>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</si>
  <si>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</si>
  <si>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</si>
  <si>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</si>
  <si>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</si>
  <si>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</si>
  <si>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</si>
  <si>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</si>
  <si>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</si>
  <si>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</si>
  <si>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</si>
  <si>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</si>
  <si>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</si>
  <si>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</si>
  <si>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</si>
  <si>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</si>
  <si>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</si>
  <si>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</si>
  <si>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</si>
  <si>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</si>
  <si>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</si>
  <si>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</si>
  <si>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</si>
  <si>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</si>
  <si>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</si>
  <si>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</si>
  <si>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</si>
  <si>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</si>
  <si>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</si>
  <si>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</si>
  <si>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</si>
  <si>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</si>
  <si>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</si>
  <si>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</si>
  <si>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</si>
  <si>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</si>
  <si>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</si>
  <si>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</si>
  <si>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</si>
  <si>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</si>
  <si>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</si>
  <si>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</si>
  <si>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</si>
  <si>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</si>
  <si>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</si>
  <si>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</si>
  <si>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</si>
  <si>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</si>
  <si>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</si>
  <si>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</si>
  <si>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</si>
  <si>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</si>
  <si>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</si>
  <si>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</si>
  <si>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</si>
  <si>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</si>
  <si>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</si>
  <si>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</si>
  <si>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</si>
  <si>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</si>
  <si>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</si>
  <si>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</si>
  <si>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</si>
  <si>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</si>
  <si>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</si>
  <si>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</si>
  <si>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</si>
  <si>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</si>
  <si>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</si>
  <si>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</si>
  <si>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</si>
  <si>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</si>
  <si>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</si>
  <si>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</si>
  <si>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</si>
  <si>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</si>
  <si>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</si>
  <si>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</si>
  <si>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</si>
  <si>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</si>
  <si>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</si>
  <si>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</si>
  <si>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</si>
  <si>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</si>
  <si>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</si>
  <si>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</si>
  <si>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</si>
  <si>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</si>
  <si>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</si>
  <si>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</si>
  <si>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</si>
  <si>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</si>
  <si>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</si>
  <si>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</si>
  <si>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</si>
  <si>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</si>
  <si>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</si>
  <si>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</si>
  <si>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</si>
  <si>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</si>
  <si>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</si>
  <si>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</si>
  <si>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</si>
  <si>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</si>
  <si>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</si>
  <si>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</si>
  <si>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</si>
  <si>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</si>
  <si>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</si>
  <si>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</si>
  <si>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</si>
  <si>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</si>
  <si>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</si>
  <si>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</si>
  <si>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</si>
  <si>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</si>
  <si>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</si>
  <si>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</si>
  <si>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</si>
  <si>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</si>
  <si>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</si>
  <si>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</si>
  <si>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</si>
  <si>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</si>
  <si>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</si>
  <si>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</si>
  <si>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</si>
  <si>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</si>
  <si>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</si>
  <si>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</si>
  <si>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</si>
  <si>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</si>
  <si>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</si>
  <si>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</si>
  <si>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</si>
  <si>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</si>
  <si>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</si>
  <si>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</si>
  <si>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</si>
  <si>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</si>
  <si>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</si>
  <si>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</si>
  <si>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</si>
  <si>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</si>
  <si>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</si>
  <si>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</si>
  <si>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</si>
  <si>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</si>
  <si>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</si>
  <si>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</si>
  <si>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</si>
  <si>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</si>
  <si>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</si>
  <si>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</si>
  <si>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</si>
  <si>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</si>
  <si>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</si>
  <si>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</si>
  <si>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</si>
  <si>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</si>
  <si>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</si>
  <si>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</si>
  <si>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</si>
  <si>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</si>
  <si>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</si>
  <si>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</si>
  <si>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</si>
  <si>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</si>
  <si>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</si>
  <si>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</si>
  <si>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</si>
  <si>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</si>
  <si>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</si>
  <si>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</si>
  <si>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</si>
  <si>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</si>
  <si>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</si>
  <si>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</si>
  <si>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</si>
  <si>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</si>
  <si>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</si>
  <si>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</si>
  <si>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</si>
  <si>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</si>
  <si>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</si>
  <si>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</si>
  <si>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</si>
  <si>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</si>
  <si>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</si>
  <si>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</si>
  <si>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</si>
  <si>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</si>
  <si>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</si>
  <si>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</si>
  <si>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</si>
  <si>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</si>
  <si>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</si>
  <si>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</si>
  <si>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</si>
  <si>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</si>
  <si>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</si>
  <si>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</si>
  <si>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</si>
  <si>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</si>
  <si>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</si>
  <si>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</si>
  <si>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</si>
  <si>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</si>
  <si>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</si>
  <si>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</si>
  <si>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</si>
  <si>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</si>
  <si>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</si>
  <si>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</si>
  <si>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</si>
  <si>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</si>
  <si>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</si>
  <si>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</si>
  <si>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</si>
  <si>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</si>
  <si>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</si>
  <si>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</si>
  <si>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</si>
  <si>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</si>
  <si>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</si>
  <si>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</si>
  <si>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</si>
  <si>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</si>
  <si>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</si>
  <si>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</si>
  <si>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</si>
  <si>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</si>
  <si>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</si>
  <si>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</si>
  <si>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</si>
  <si>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</si>
  <si>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</si>
  <si>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</si>
  <si>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</si>
  <si>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</si>
  <si>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</si>
  <si>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</si>
  <si>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</si>
  <si>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</si>
  <si>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</si>
  <si>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</si>
  <si>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</si>
  <si>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</si>
  <si>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</si>
  <si>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</si>
  <si>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</si>
  <si>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</si>
  <si>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</si>
  <si>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</si>
  <si>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</si>
  <si>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</si>
  <si>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</si>
  <si>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</si>
  <si>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</si>
  <si>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</si>
  <si>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</si>
  <si>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</si>
  <si>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</si>
  <si>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</si>
  <si>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</si>
  <si>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</si>
  <si>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</si>
  <si>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</si>
  <si>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</si>
  <si>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</si>
  <si>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</si>
  <si>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</si>
  <si>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</si>
  <si>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</si>
  <si>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</si>
  <si>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</si>
  <si>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</si>
  <si>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</si>
  <si>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</si>
  <si>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</si>
  <si>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</si>
  <si>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</si>
  <si>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</si>
  <si>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</si>
  <si>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</si>
  <si>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</si>
  <si>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</si>
  <si>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</si>
  <si>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</si>
  <si>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</si>
  <si>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</si>
  <si>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</si>
  <si>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</si>
  <si>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</si>
  <si>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</si>
  <si>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</si>
  <si>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</si>
  <si>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</si>
  <si>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</si>
  <si>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</si>
  <si>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</si>
  <si>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</si>
  <si>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</si>
  <si>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</si>
  <si>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</si>
  <si>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</si>
  <si>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</si>
  <si>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</si>
  <si>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</si>
  <si>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</si>
  <si>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</si>
  <si>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</si>
  <si>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</si>
  <si>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</si>
  <si>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</si>
  <si>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</si>
  <si>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</si>
  <si>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</si>
  <si>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</si>
  <si>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</si>
  <si>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</si>
  <si>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</si>
  <si>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</si>
  <si>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</si>
  <si>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</si>
  <si>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</si>
  <si>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</si>
  <si>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</si>
  <si>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</si>
  <si>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</si>
  <si>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</si>
  <si>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</si>
  <si>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</si>
  <si>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</si>
  <si>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</si>
  <si>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</si>
  <si>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</si>
  <si>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</si>
  <si>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</si>
  <si>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</si>
  <si>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</si>
  <si>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</si>
  <si>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</si>
  <si>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</si>
  <si>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</si>
  <si>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</si>
  <si>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</si>
  <si>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</si>
  <si>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</si>
  <si>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</si>
  <si>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</si>
  <si>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</si>
  <si>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</si>
  <si>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</si>
  <si>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</si>
  <si>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</si>
  <si>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</si>
  <si>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</si>
  <si>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</si>
  <si>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</si>
  <si>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</si>
  <si>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</si>
  <si>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</si>
  <si>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</si>
  <si>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</si>
  <si>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</si>
  <si>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</si>
  <si>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</si>
  <si>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</si>
  <si>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</si>
  <si>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</si>
  <si>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</si>
  <si>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</si>
  <si>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</si>
  <si>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</si>
  <si>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</si>
  <si>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</si>
  <si>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</si>
  <si>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</si>
  <si>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</si>
  <si>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</si>
  <si>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</si>
  <si>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</si>
  <si>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</si>
  <si>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</si>
  <si>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</si>
  <si>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</si>
  <si>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</si>
  <si>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</si>
  <si>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</si>
  <si>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</si>
  <si>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</si>
  <si>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</si>
  <si>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</si>
  <si>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</si>
  <si>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</si>
  <si>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</si>
  <si>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</si>
  <si>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</si>
  <si>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</si>
  <si>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</si>
  <si>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</si>
  <si>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</si>
  <si>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</si>
  <si>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</si>
  <si>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</si>
  <si>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</si>
  <si>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</si>
  <si>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</si>
  <si>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</si>
  <si>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</si>
  <si>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</si>
  <si>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</si>
  <si>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</si>
  <si>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</si>
  <si>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</si>
  <si>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</si>
  <si>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</si>
  <si>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</si>
  <si>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</si>
  <si>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</si>
  <si>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</si>
  <si>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</si>
  <si>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</si>
  <si>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</si>
  <si>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</si>
  <si>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</si>
  <si>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</si>
  <si>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</si>
  <si>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</si>
  <si>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</si>
  <si>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</si>
  <si>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</si>
  <si>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</si>
  <si>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</si>
  <si>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</si>
  <si>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</si>
  <si>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</si>
  <si>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</si>
  <si>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</si>
  <si>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</si>
  <si>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</si>
  <si>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</si>
  <si>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</si>
  <si>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</si>
  <si>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</si>
  <si>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</si>
  <si>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</si>
  <si>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</si>
  <si>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</si>
  <si>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</si>
  <si>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</si>
  <si>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</si>
  <si>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</si>
  <si>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</si>
  <si>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</si>
  <si>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</si>
  <si>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</si>
  <si>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</si>
  <si>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</si>
  <si>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</si>
  <si>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</si>
  <si>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</si>
  <si>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</si>
  <si>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</si>
  <si>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</si>
  <si>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</si>
  <si>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</si>
  <si>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</si>
  <si>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</si>
  <si>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</si>
  <si>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</si>
  <si>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</si>
  <si>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</si>
  <si>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</si>
  <si>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</si>
  <si>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</si>
  <si>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</si>
  <si>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</si>
  <si>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</si>
  <si>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</si>
  <si>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</si>
  <si>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</si>
  <si>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</si>
  <si>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</si>
  <si>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</si>
  <si>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</si>
  <si>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</si>
  <si>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</si>
  <si>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</si>
  <si>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</si>
  <si>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</si>
  <si>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</si>
  <si>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</si>
  <si>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</si>
  <si>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</si>
  <si>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</si>
  <si>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</si>
  <si>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</si>
  <si>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</si>
  <si>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</si>
  <si>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</si>
  <si>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</si>
  <si>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</si>
  <si>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</si>
  <si>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</si>
  <si>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</si>
  <si>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</si>
  <si>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</si>
  <si>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</si>
  <si>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</si>
  <si>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</si>
  <si>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</si>
  <si>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</si>
  <si>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</si>
  <si>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</si>
  <si>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</si>
  <si>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</si>
  <si>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</si>
  <si>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</si>
  <si>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</si>
  <si>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</si>
  <si>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</si>
  <si>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</si>
  <si>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</si>
  <si>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</si>
  <si>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</si>
  <si>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</si>
  <si>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</si>
  <si>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</si>
  <si>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</si>
  <si>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</si>
  <si>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</si>
  <si>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</si>
  <si>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</si>
  <si>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</si>
  <si>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</si>
  <si>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</si>
  <si>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</si>
  <si>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</si>
  <si>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</si>
  <si>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</si>
  <si>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</si>
  <si>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</si>
  <si>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</si>
  <si>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</si>
  <si>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</si>
  <si>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</si>
  <si>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</si>
  <si>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</si>
  <si>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</si>
  <si>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</si>
  <si>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</si>
  <si>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</si>
  <si>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</si>
  <si>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</si>
  <si>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</si>
  <si>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</si>
  <si>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</si>
  <si>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</si>
  <si>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</si>
  <si>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</si>
  <si>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</si>
  <si>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</si>
  <si>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</si>
  <si>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</si>
  <si>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</si>
  <si>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</si>
  <si>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</si>
  <si>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</si>
  <si>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</si>
  <si>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</si>
  <si>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</si>
  <si>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</si>
  <si>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</si>
  <si>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</si>
  <si>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</si>
  <si>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</si>
  <si>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</si>
  <si>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</si>
  <si>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</si>
  <si>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</si>
  <si>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</si>
  <si>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</si>
  <si>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</si>
  <si>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</si>
  <si>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</si>
  <si>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</si>
  <si>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</si>
  <si>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</si>
  <si>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</si>
  <si>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</si>
  <si>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</si>
  <si>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</si>
  <si>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</si>
  <si>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</si>
  <si>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</si>
  <si>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</si>
  <si>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</si>
  <si>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</si>
  <si>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</si>
  <si>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</si>
  <si>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</si>
  <si>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</si>
  <si>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</si>
  <si>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</si>
  <si>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</si>
  <si>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</si>
  <si>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</si>
  <si>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</si>
  <si>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</si>
  <si>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</si>
  <si>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</si>
  <si>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</si>
  <si>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</si>
  <si>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</si>
  <si>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</si>
  <si>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</si>
  <si>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</si>
  <si>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</si>
  <si>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</si>
  <si>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</si>
  <si>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</si>
  <si>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</si>
  <si>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</si>
  <si>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</si>
  <si>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</si>
  <si>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</si>
  <si>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</si>
  <si>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</si>
  <si>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</si>
  <si>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</si>
  <si>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</si>
  <si>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</si>
  <si>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</si>
  <si>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</si>
  <si>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</si>
  <si>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</si>
  <si>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</si>
  <si>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</si>
  <si>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</si>
  <si>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</si>
  <si>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</si>
  <si>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</si>
  <si>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</si>
  <si>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</si>
  <si>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</si>
  <si>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</si>
  <si>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</si>
  <si>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</si>
  <si>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</si>
  <si>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</si>
  <si>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</si>
  <si>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</si>
  <si>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</si>
  <si>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</si>
  <si>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</si>
  <si>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</si>
  <si>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</si>
  <si>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</si>
  <si>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</si>
  <si>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</si>
  <si>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</si>
  <si>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</si>
  <si>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</si>
  <si>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</si>
  <si>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</si>
  <si>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</si>
  <si>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</si>
  <si>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</si>
  <si>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</si>
  <si>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</si>
  <si>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</si>
  <si>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</si>
  <si>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</si>
  <si>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</si>
  <si>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</si>
  <si>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</si>
  <si>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</si>
  <si>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</si>
  <si>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</si>
  <si>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</si>
  <si>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</si>
  <si>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</si>
  <si>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</si>
  <si>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</si>
  <si>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</si>
  <si>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</si>
  <si>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</si>
  <si>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</si>
  <si>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</si>
  <si>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</si>
  <si>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</si>
  <si>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</si>
  <si>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</si>
  <si>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</si>
  <si>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</si>
  <si>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</si>
  <si>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</si>
  <si>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</si>
  <si>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</si>
  <si>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</si>
  <si>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</si>
  <si>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</si>
  <si>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</si>
  <si>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</si>
  <si>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</si>
  <si>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</si>
  <si>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</si>
  <si>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</si>
  <si>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</si>
  <si>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</si>
  <si>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</si>
  <si>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</si>
  <si>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</si>
  <si>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</si>
  <si>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</si>
  <si>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</si>
  <si>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</si>
  <si>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</si>
  <si>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</si>
  <si>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</si>
  <si>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</si>
  <si>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</si>
  <si>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</si>
  <si>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</si>
  <si>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</si>
  <si>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</si>
  <si>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</si>
  <si>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</si>
  <si>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</si>
  <si>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</si>
  <si>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</si>
  <si>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</si>
  <si>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</si>
  <si>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</si>
  <si>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</si>
  <si>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</si>
  <si>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</si>
  <si>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</si>
  <si>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</si>
  <si>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</si>
  <si>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</si>
  <si>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</si>
  <si>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</si>
  <si>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</si>
  <si>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</si>
  <si>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</si>
  <si>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</si>
  <si>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</si>
  <si>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</si>
  <si>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</si>
  <si>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</si>
  <si>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</si>
  <si>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</si>
  <si>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</si>
  <si>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</si>
  <si>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</si>
  <si>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</si>
  <si>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</si>
  <si>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</si>
  <si>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</si>
  <si>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</si>
  <si>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</si>
  <si>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</si>
  <si>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</si>
  <si>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</si>
  <si>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</si>
  <si>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</si>
  <si>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</si>
  <si>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</si>
  <si>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</si>
  <si>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</si>
  <si>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</si>
  <si>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</si>
  <si>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</si>
  <si>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</si>
  <si>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</si>
  <si>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</si>
  <si>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</si>
  <si>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</si>
  <si>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</si>
  <si>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</si>
  <si>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</si>
  <si>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</si>
  <si>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</si>
  <si>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</si>
  <si>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</si>
  <si>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</si>
  <si>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</si>
  <si>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</si>
  <si>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</si>
  <si>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</si>
  <si>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</si>
  <si>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</si>
  <si>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</si>
  <si>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</si>
  <si>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</si>
  <si>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</si>
  <si>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</si>
  <si>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</si>
  <si>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</si>
  <si>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</si>
  <si>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</si>
  <si>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</si>
  <si>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</si>
  <si>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</si>
  <si>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</si>
  <si>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</si>
  <si>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</si>
  <si>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</si>
  <si>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</si>
  <si>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</si>
  <si>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</si>
  <si>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</si>
  <si>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</si>
  <si>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</si>
  <si>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</si>
  <si>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</si>
  <si>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</si>
  <si>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</si>
  <si>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</si>
  <si>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</si>
  <si>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</si>
  <si>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</si>
  <si>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</si>
  <si>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</si>
  <si>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</si>
  <si>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</si>
  <si>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</si>
  <si>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</si>
  <si>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</si>
  <si>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</si>
  <si>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</si>
  <si>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</si>
  <si>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</si>
  <si>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</si>
  <si>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</si>
  <si>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</si>
  <si>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</si>
  <si>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</si>
  <si>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</si>
  <si>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</si>
  <si>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</si>
  <si>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</si>
  <si>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</si>
  <si>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</si>
  <si>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</si>
  <si>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</si>
  <si>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</si>
  <si>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</si>
  <si>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</si>
  <si>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</si>
  <si>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</si>
  <si>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</si>
  <si>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</si>
  <si>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</si>
  <si>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</si>
  <si>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</si>
  <si>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</si>
  <si>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</si>
  <si>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</si>
  <si>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</si>
  <si>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</si>
  <si>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</si>
  <si>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</si>
  <si>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</si>
  <si>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</si>
  <si>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</si>
  <si>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</si>
  <si>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</si>
  <si>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</si>
  <si>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</si>
  <si>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</si>
  <si>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</si>
  <si>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</si>
  <si>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</si>
  <si>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</si>
  <si>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</si>
  <si>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</si>
  <si>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</si>
  <si>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</si>
  <si>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</si>
  <si>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</si>
  <si>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</si>
  <si>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</si>
  <si>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</si>
  <si>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</si>
  <si>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</si>
  <si>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</si>
  <si>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</si>
  <si>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</si>
  <si>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</si>
  <si>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</si>
  <si>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</si>
  <si>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</si>
  <si>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</si>
  <si>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</si>
  <si>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</si>
  <si>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</si>
  <si>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</si>
  <si>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</si>
  <si>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</si>
  <si>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</si>
  <si>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</si>
  <si>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</si>
  <si>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</si>
  <si>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</si>
  <si>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</si>
  <si>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</si>
  <si>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</si>
  <si>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</si>
  <si>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</si>
  <si>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</si>
  <si>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</si>
  <si>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</si>
  <si>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</si>
  <si>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</si>
  <si>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</si>
  <si>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</si>
  <si>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</si>
  <si>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</si>
  <si>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</si>
  <si>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</si>
  <si>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</si>
  <si>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</si>
  <si>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</si>
  <si>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</si>
  <si>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</si>
  <si>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</si>
  <si>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</si>
  <si>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</si>
  <si>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</si>
  <si>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</si>
  <si>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</si>
  <si>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</si>
  <si>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</si>
  <si>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</si>
  <si>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</si>
  <si>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</si>
  <si>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</si>
  <si>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</si>
  <si>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</si>
  <si>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</si>
  <si>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</si>
  <si>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</si>
  <si>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</si>
  <si>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</si>
  <si>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</si>
  <si>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</si>
  <si>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</si>
  <si>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</si>
  <si>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</si>
  <si>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</si>
  <si>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</si>
  <si>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</si>
  <si>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</si>
  <si>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</si>
  <si>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</si>
  <si>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</si>
  <si>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</si>
  <si>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</si>
  <si>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</si>
  <si>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</si>
  <si>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</si>
  <si>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</si>
  <si>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</si>
  <si>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</si>
  <si>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</si>
  <si>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</si>
  <si>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</si>
  <si>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</si>
  <si>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</si>
  <si>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</si>
  <si>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</si>
  <si>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</si>
  <si>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</si>
  <si>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</si>
  <si>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</si>
  <si>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</si>
  <si>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</si>
  <si>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</si>
  <si>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</si>
  <si>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</si>
  <si>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</si>
  <si>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</si>
  <si>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</si>
  <si>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</si>
  <si>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</si>
  <si>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</si>
  <si>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</si>
  <si>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</si>
  <si>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</si>
  <si>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</si>
  <si>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</si>
  <si>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</si>
  <si>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</si>
  <si>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</si>
  <si>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</si>
  <si>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</si>
  <si>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</si>
  <si>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</si>
  <si>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</si>
  <si>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</si>
  <si>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</si>
  <si>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</si>
  <si>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</si>
  <si>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</si>
  <si>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</si>
  <si>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</si>
  <si>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</si>
  <si>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</si>
  <si>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</si>
  <si>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</si>
  <si>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</si>
  <si>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</si>
  <si>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</si>
  <si>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</si>
  <si>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</si>
  <si>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</si>
  <si>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</si>
  <si>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</si>
  <si>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</si>
  <si>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</si>
  <si>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</si>
  <si>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</si>
  <si>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</si>
  <si>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</si>
  <si>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</si>
  <si>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</si>
  <si>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</si>
  <si>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</si>
  <si>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</si>
  <si>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</si>
  <si>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</si>
  <si>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</si>
  <si>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</si>
  <si>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</si>
  <si>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</si>
  <si>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</si>
  <si>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</si>
  <si>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</si>
  <si>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</si>
  <si>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</si>
  <si>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</si>
  <si>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</si>
  <si>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</si>
  <si>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</si>
  <si>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</si>
  <si>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</si>
  <si>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</si>
  <si>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</si>
  <si>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</si>
  <si>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</si>
  <si>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</si>
  <si>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</si>
  <si>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</si>
  <si>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</si>
  <si>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</si>
  <si>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</si>
  <si>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</si>
  <si>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</si>
  <si>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</si>
  <si>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</si>
  <si>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</si>
  <si>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</si>
  <si>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</si>
  <si>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</si>
  <si>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</si>
  <si>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</si>
  <si>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</si>
  <si>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</si>
  <si>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</si>
  <si>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</si>
  <si>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</si>
  <si>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</si>
  <si>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</si>
  <si>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</si>
  <si>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</si>
  <si>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</si>
  <si>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</si>
  <si>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</si>
  <si>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</si>
  <si>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</si>
  <si>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</si>
  <si>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</si>
  <si>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</si>
  <si>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</si>
  <si>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</si>
  <si>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</si>
  <si>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</si>
  <si>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</si>
  <si>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</si>
  <si>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</si>
  <si>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</si>
  <si>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</si>
  <si>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</si>
  <si>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</si>
  <si>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</si>
  <si>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</si>
  <si>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</si>
  <si>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</si>
  <si>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</si>
  <si>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</si>
  <si>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</si>
  <si>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</si>
  <si>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</si>
  <si>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</si>
  <si>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</si>
  <si>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</si>
  <si>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</si>
  <si>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</si>
  <si>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</si>
  <si>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</si>
  <si>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</si>
  <si>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</si>
  <si>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</si>
  <si>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</si>
  <si>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</si>
  <si>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</si>
  <si>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</si>
  <si>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</si>
  <si>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</si>
  <si>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</si>
  <si>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</si>
  <si>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</si>
  <si>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</si>
  <si>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</si>
  <si>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</si>
  <si>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</si>
  <si>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</si>
  <si>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</si>
  <si>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</si>
  <si>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</si>
  <si>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</si>
  <si>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</si>
  <si>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</si>
  <si>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</si>
  <si>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</si>
  <si>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</si>
  <si>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</si>
  <si>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</si>
  <si>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</si>
  <si>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</si>
  <si>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</si>
  <si>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</si>
  <si>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</si>
  <si>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</si>
  <si>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</si>
  <si>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</si>
  <si>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</si>
  <si>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</si>
  <si>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</si>
  <si>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</si>
  <si>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</si>
  <si>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</si>
  <si>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</si>
  <si>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</si>
  <si>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</si>
  <si>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</si>
  <si>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</si>
  <si>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</si>
  <si>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</si>
  <si>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</si>
  <si>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</si>
  <si>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</si>
  <si>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</si>
  <si>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</si>
  <si>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</si>
  <si>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</si>
  <si>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</si>
  <si>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</si>
  <si>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</si>
  <si>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</si>
  <si>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</si>
  <si>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</si>
  <si>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</si>
  <si>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</si>
  <si>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</si>
  <si>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</si>
  <si>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</si>
  <si>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</si>
  <si>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</si>
  <si>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</si>
  <si>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</si>
  <si>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</si>
  <si>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</si>
  <si>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</si>
  <si>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</si>
  <si>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</si>
  <si>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</si>
  <si>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</si>
  <si>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</si>
  <si>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</si>
  <si>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</si>
  <si>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</si>
  <si>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</si>
  <si>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</si>
  <si>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</si>
  <si>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</si>
  <si>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</si>
  <si>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</si>
  <si>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</si>
  <si>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</si>
  <si>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</si>
  <si>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</si>
  <si>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</si>
  <si>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</si>
  <si>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</si>
  <si>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</si>
  <si>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</si>
  <si>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</si>
  <si>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</si>
  <si>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</si>
  <si>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</si>
  <si>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</si>
  <si>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</si>
  <si>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</si>
  <si>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</si>
  <si>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</si>
  <si>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</si>
  <si>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</si>
  <si>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</si>
  <si>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</si>
  <si>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</si>
  <si>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</si>
  <si>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</si>
  <si>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</si>
  <si>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</si>
  <si>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</si>
  <si>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</si>
  <si>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</si>
  <si>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</si>
  <si>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</si>
  <si>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</si>
  <si>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</si>
  <si>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</si>
  <si>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</si>
  <si>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</si>
  <si>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</si>
  <si>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</si>
  <si>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</si>
  <si>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</si>
  <si>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</si>
  <si>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</si>
  <si>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</si>
  <si>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</si>
  <si>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</si>
  <si>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</si>
  <si>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</si>
  <si>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</si>
  <si>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</si>
  <si>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</si>
  <si>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</si>
  <si>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</si>
  <si>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</si>
  <si>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</si>
  <si>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</si>
  <si>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</si>
  <si>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</si>
  <si>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</si>
  <si>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</si>
  <si>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</si>
  <si>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</si>
  <si>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</si>
  <si>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</si>
  <si>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</si>
  <si>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</si>
  <si>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</si>
  <si>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</si>
  <si>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</si>
  <si>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</si>
  <si>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</si>
  <si>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</si>
  <si>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</si>
  <si>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</si>
  <si>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</si>
  <si>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</si>
  <si>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</si>
  <si>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</si>
  <si>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</si>
  <si>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</si>
  <si>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</si>
  <si>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</si>
  <si>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</si>
  <si>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</si>
  <si>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</si>
  <si>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</si>
  <si>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</si>
  <si>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</si>
  <si>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</si>
  <si>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</si>
  <si>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</si>
  <si>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</si>
  <si>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</si>
  <si>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</si>
  <si>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</si>
  <si>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</si>
  <si>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</si>
  <si>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</si>
  <si>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</si>
  <si>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</si>
  <si>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</si>
  <si>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</si>
  <si>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</si>
  <si>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</si>
  <si>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</si>
  <si>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</si>
  <si>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</si>
  <si>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</si>
  <si>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</si>
  <si>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</si>
  <si>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</si>
  <si>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</si>
  <si>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</si>
  <si>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</si>
  <si>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</si>
  <si>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</si>
  <si>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</si>
  <si>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</si>
  <si>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</si>
  <si>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</si>
  <si>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</si>
  <si>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</si>
  <si>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</si>
  <si>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</si>
  <si>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</si>
  <si>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</si>
  <si>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</si>
  <si>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</si>
  <si>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</si>
  <si>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</si>
  <si>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</si>
  <si>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</si>
  <si>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</si>
  <si>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</si>
  <si>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</si>
  <si>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</si>
  <si>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</si>
  <si>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</si>
  <si>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</si>
  <si>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</si>
  <si>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</si>
  <si>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</si>
  <si>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</si>
  <si>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</si>
  <si>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</si>
  <si>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</si>
  <si>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</si>
  <si>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</si>
  <si>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</si>
  <si>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</si>
  <si>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</si>
  <si>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</si>
  <si>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</si>
  <si>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</si>
  <si>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</si>
  <si>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</si>
  <si>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</si>
  <si>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</si>
  <si>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</si>
  <si>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</si>
  <si>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</si>
  <si>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</si>
  <si>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</si>
  <si>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</si>
  <si>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</si>
  <si>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</si>
  <si>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</si>
  <si>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</si>
  <si>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</si>
  <si>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</si>
  <si>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</si>
  <si>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</si>
  <si>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</si>
  <si>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</si>
  <si>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</si>
  <si>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</si>
  <si>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</si>
  <si>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</si>
  <si>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</si>
  <si>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</si>
  <si>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</si>
  <si>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</si>
  <si>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</si>
  <si>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</si>
  <si>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</si>
  <si>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</si>
  <si>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</si>
  <si>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</si>
  <si>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</si>
  <si>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</si>
  <si>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</si>
  <si>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</si>
  <si>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</si>
  <si>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</si>
  <si>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</si>
  <si>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</si>
  <si>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</si>
  <si>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</si>
  <si>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</si>
  <si>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</si>
  <si>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</si>
  <si>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</si>
  <si>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</si>
  <si>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</si>
  <si>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</si>
  <si>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</si>
  <si>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</si>
  <si>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</si>
  <si>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</si>
  <si>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</si>
  <si>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</si>
  <si>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</si>
  <si>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</si>
  <si>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</si>
  <si>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</si>
  <si>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</si>
  <si>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</si>
  <si>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</si>
  <si>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</si>
  <si>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</si>
  <si>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</si>
  <si>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</si>
  <si>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</si>
  <si>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</si>
  <si>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</si>
  <si>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</si>
  <si>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</si>
  <si>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</si>
  <si>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</si>
  <si>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</si>
  <si>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</si>
  <si>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</si>
  <si>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</si>
  <si>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</si>
  <si>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</si>
  <si>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</si>
  <si>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</si>
  <si>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</si>
  <si>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</si>
  <si>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</si>
  <si>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</si>
  <si>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</si>
  <si>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</si>
  <si>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</si>
  <si>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</si>
  <si>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</si>
  <si>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</si>
  <si>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</si>
  <si>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</si>
  <si>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</si>
  <si>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</si>
  <si>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</si>
  <si>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</si>
  <si>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</si>
  <si>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</si>
  <si>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</si>
  <si>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</si>
  <si>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</si>
  <si>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</si>
  <si>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</si>
  <si>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</si>
  <si>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</si>
  <si>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</si>
  <si>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</si>
  <si>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</si>
  <si>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</si>
  <si>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</si>
  <si>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</si>
  <si>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</si>
  <si>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</si>
  <si>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</si>
  <si>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</si>
  <si>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</si>
  <si>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</si>
  <si>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</si>
  <si>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</si>
  <si>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</si>
  <si>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</si>
  <si>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</si>
  <si>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</si>
  <si>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</si>
  <si>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</si>
  <si>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</si>
  <si>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</si>
  <si>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</si>
  <si>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</si>
  <si>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</si>
  <si>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</si>
  <si>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</si>
  <si>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</si>
  <si>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</si>
  <si>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</si>
  <si>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</si>
  <si>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</si>
  <si>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</si>
  <si>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</si>
  <si>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</si>
  <si>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</si>
  <si>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</si>
  <si>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</si>
  <si>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</si>
  <si>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</si>
  <si>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</si>
  <si>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</si>
  <si>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</si>
  <si>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</si>
  <si>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</si>
  <si>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</si>
  <si>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</si>
  <si>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</si>
  <si>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</si>
  <si>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</si>
  <si>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</si>
  <si>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</si>
  <si>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</si>
  <si>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</si>
  <si>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</si>
  <si>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</si>
  <si>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</si>
  <si>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</si>
  <si>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</si>
  <si>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</si>
  <si>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</si>
  <si>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</si>
  <si>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</si>
  <si>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</si>
  <si>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</si>
  <si>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</si>
  <si>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</si>
  <si>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</si>
  <si>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</si>
  <si>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</si>
  <si>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</si>
  <si>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</si>
  <si>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</si>
  <si>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</si>
  <si>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</si>
  <si>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</si>
  <si>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</si>
  <si>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</si>
  <si>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</si>
  <si>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</si>
  <si>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</si>
  <si>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</si>
  <si>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</si>
  <si>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</si>
  <si>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</si>
  <si>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</si>
  <si>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</si>
  <si>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</si>
  <si>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</si>
  <si>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</si>
  <si>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</si>
  <si>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</si>
  <si>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</si>
  <si>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</si>
  <si>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</si>
  <si>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</si>
  <si>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</si>
  <si>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</si>
  <si>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</si>
  <si>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</si>
  <si>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</si>
  <si>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</si>
  <si>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</si>
  <si>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</si>
  <si>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</si>
  <si>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</si>
  <si>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</si>
  <si>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</si>
  <si>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</si>
  <si>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</si>
  <si>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</si>
  <si>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</si>
  <si>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</si>
  <si>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</si>
  <si>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</si>
  <si>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</si>
  <si>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</si>
  <si>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</si>
  <si>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</si>
  <si>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</si>
  <si>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</si>
  <si>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</si>
  <si>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</si>
  <si>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</si>
  <si>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</si>
  <si>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</si>
  <si>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</si>
  <si>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</si>
  <si>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</si>
  <si>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</si>
  <si>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</si>
  <si>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</si>
  <si>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</si>
  <si>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</si>
  <si>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</si>
  <si>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</si>
  <si>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</si>
  <si>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</si>
  <si>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</si>
  <si>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</si>
  <si>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</si>
  <si>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</si>
  <si>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</si>
  <si>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</si>
  <si>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</si>
  <si>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</si>
  <si>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</si>
  <si>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</si>
  <si>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</si>
  <si>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</si>
  <si>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</si>
  <si>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</si>
  <si>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</si>
  <si>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</si>
  <si>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</si>
  <si>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</si>
  <si>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</si>
  <si>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</si>
  <si>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</si>
  <si>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</si>
  <si>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</si>
  <si>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</si>
  <si>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</si>
  <si>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</si>
  <si>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</si>
  <si>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</si>
  <si>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</si>
  <si>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</si>
  <si>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</si>
  <si>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</si>
  <si>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</si>
  <si>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</si>
  <si>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</si>
  <si>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</si>
  <si>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</si>
  <si>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</si>
  <si>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</si>
  <si>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</si>
  <si>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</si>
  <si>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</si>
  <si>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</si>
  <si>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</si>
  <si>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</si>
  <si>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</si>
  <si>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</si>
  <si>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</si>
  <si>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</si>
  <si>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</si>
  <si>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</si>
  <si>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</si>
  <si>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</si>
  <si>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</si>
  <si>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</si>
  <si>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</si>
  <si>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</si>
  <si>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</si>
  <si>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</si>
  <si>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</si>
  <si>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</si>
  <si>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</si>
  <si>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</si>
  <si>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</si>
  <si>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</si>
  <si>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</si>
  <si>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</si>
  <si>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</si>
  <si>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</si>
  <si>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</si>
  <si>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</si>
  <si>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</si>
  <si>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</si>
  <si>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</si>
  <si>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</si>
  <si>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</si>
  <si>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</si>
  <si>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</si>
  <si>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</si>
  <si>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</si>
  <si>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</si>
  <si>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</si>
  <si>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</si>
  <si>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</si>
  <si>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</si>
  <si>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</si>
  <si>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</si>
  <si>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</si>
  <si>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</si>
  <si>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</si>
  <si>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</si>
  <si>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</si>
  <si>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</si>
  <si>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</si>
  <si>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</si>
  <si>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</si>
  <si>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</si>
  <si>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</si>
  <si>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</si>
  <si>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</si>
  <si>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</si>
  <si>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</si>
  <si>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</si>
  <si>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</si>
  <si>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</si>
  <si>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</si>
  <si>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</si>
  <si>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</si>
  <si>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</si>
  <si>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</si>
  <si>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</si>
  <si>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</si>
  <si>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</si>
  <si>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</si>
  <si>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</si>
  <si>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</si>
  <si>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</si>
  <si>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</si>
  <si>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</si>
  <si>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</si>
  <si>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</si>
  <si>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</si>
  <si>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</si>
  <si>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</si>
  <si>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</si>
  <si>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</si>
  <si>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</si>
  <si>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</si>
  <si>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</si>
  <si>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</si>
  <si>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</si>
  <si>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</si>
  <si>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</si>
  <si>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</si>
  <si>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</si>
  <si>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</si>
  <si>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</si>
  <si>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</si>
  <si>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</si>
  <si>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</si>
  <si>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</si>
  <si>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</si>
  <si>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</si>
  <si>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</si>
  <si>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</si>
  <si>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</si>
  <si>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</si>
  <si>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</si>
  <si>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</si>
  <si>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</si>
  <si>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</si>
  <si>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</si>
  <si>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</si>
  <si>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</si>
  <si>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</si>
  <si>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</si>
  <si>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</si>
  <si>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</si>
  <si>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</si>
  <si>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</si>
  <si>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</si>
  <si>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</si>
  <si>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</si>
  <si>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</si>
  <si>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</si>
  <si>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</si>
  <si>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</si>
  <si>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</si>
  <si>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</si>
  <si>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</si>
  <si>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</si>
  <si>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</si>
  <si>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</si>
  <si>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</si>
  <si>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</si>
  <si>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</si>
  <si>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</si>
  <si>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</si>
  <si>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</si>
  <si>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</si>
  <si>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</si>
  <si>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</si>
  <si>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</si>
  <si>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</si>
  <si>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</si>
  <si>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</si>
  <si>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</si>
  <si>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</si>
  <si>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</si>
  <si>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</si>
  <si>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</si>
  <si>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</si>
  <si>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</si>
  <si>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</si>
  <si>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</si>
  <si>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</si>
  <si>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</si>
  <si>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</si>
  <si>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</si>
  <si>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</si>
  <si>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</si>
  <si>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</si>
  <si>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</si>
  <si>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</si>
  <si>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</si>
  <si>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</si>
  <si>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</si>
  <si>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</si>
  <si>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</si>
  <si>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</si>
  <si>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</si>
  <si>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</si>
  <si>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</si>
  <si>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</si>
  <si>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</si>
  <si>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</si>
  <si>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</si>
  <si>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</si>
  <si>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</si>
  <si>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</si>
  <si>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</si>
  <si>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</si>
  <si>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</si>
  <si>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</si>
  <si>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</si>
  <si>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</si>
  <si>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</si>
  <si>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</si>
  <si>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</si>
  <si>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</si>
  <si>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</si>
  <si>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</si>
  <si>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</si>
  <si>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</si>
  <si>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</si>
  <si>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</si>
  <si>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</si>
  <si>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</si>
  <si>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</si>
  <si>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</si>
  <si>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</si>
  <si>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</si>
  <si>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</si>
  <si>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</si>
  <si>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</si>
  <si>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</si>
  <si>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</si>
  <si>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</si>
  <si>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</si>
  <si>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</si>
  <si>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</si>
  <si>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</si>
  <si>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</si>
  <si>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</si>
  <si>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</si>
  <si>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</si>
  <si>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</si>
  <si>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</si>
  <si>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</si>
  <si>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</si>
  <si>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</si>
  <si>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</si>
  <si>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</si>
  <si>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</si>
  <si>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</si>
  <si>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</si>
  <si>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</si>
  <si>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</si>
  <si>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</si>
  <si>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</si>
  <si>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</si>
  <si>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</si>
  <si>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</si>
  <si>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</si>
  <si>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</si>
  <si>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</si>
  <si>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</si>
  <si>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</si>
  <si>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</si>
  <si>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</si>
  <si>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</si>
  <si>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</si>
  <si>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</si>
  <si>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</si>
  <si>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</si>
  <si>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</si>
  <si>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</si>
  <si>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</si>
  <si>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</si>
  <si>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</si>
  <si>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</si>
  <si>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</si>
  <si>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</si>
  <si>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</si>
  <si>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</si>
  <si>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</si>
  <si>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</si>
  <si>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</si>
  <si>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</si>
  <si>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</si>
  <si>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</si>
  <si>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</si>
  <si>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</si>
  <si>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</si>
  <si>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</si>
  <si>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</si>
  <si>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</si>
  <si>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</si>
  <si>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</si>
  <si>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</si>
  <si>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</si>
  <si>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</si>
  <si>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</si>
  <si>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</si>
  <si>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</si>
  <si>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</si>
  <si>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</si>
  <si>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</si>
  <si>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</si>
  <si>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</si>
  <si>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</si>
  <si>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</si>
  <si>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</si>
  <si>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</si>
  <si>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</si>
  <si>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</si>
  <si>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</si>
  <si>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</si>
  <si>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</si>
  <si>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</si>
  <si>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</si>
  <si>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</si>
  <si>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</si>
  <si>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</si>
  <si>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</si>
  <si>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</si>
  <si>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</si>
  <si>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</si>
  <si>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</si>
  <si>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</si>
  <si>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</si>
  <si>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</si>
  <si>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</si>
  <si>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</si>
  <si>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</si>
  <si>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</si>
  <si>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</si>
  <si>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</si>
  <si>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</si>
  <si>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</si>
  <si>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</si>
  <si>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</si>
  <si>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</si>
  <si>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</si>
  <si>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</si>
  <si>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</si>
  <si>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</si>
  <si>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</si>
  <si>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</si>
  <si>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</si>
  <si>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</si>
  <si>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</si>
  <si>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</si>
  <si>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</si>
  <si>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</si>
  <si>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</si>
  <si>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</si>
  <si>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</si>
  <si>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</si>
  <si>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</si>
  <si>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</si>
  <si>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</si>
  <si>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</si>
  <si>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</si>
  <si>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</si>
  <si>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</si>
  <si>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</si>
  <si>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</si>
  <si>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</si>
  <si>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</si>
  <si>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</si>
  <si>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</si>
  <si>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</si>
  <si>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</si>
  <si>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</si>
  <si>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</si>
  <si>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</si>
  <si>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</si>
  <si>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</si>
  <si>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</si>
  <si>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</si>
  <si>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</si>
  <si>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</si>
  <si>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</si>
  <si>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</si>
  <si>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</si>
  <si>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</si>
  <si>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</si>
  <si>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</si>
  <si>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</si>
  <si>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</si>
  <si>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</si>
  <si>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</si>
  <si>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</si>
  <si>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</si>
  <si>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</si>
  <si>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</si>
  <si>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</si>
  <si>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</si>
  <si>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</si>
  <si>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</si>
  <si>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</si>
  <si>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</si>
  <si>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</si>
  <si>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</si>
  <si>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</si>
  <si>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</si>
  <si>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</si>
  <si>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</si>
  <si>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</si>
  <si>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</si>
  <si>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</si>
  <si>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</si>
  <si>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</si>
  <si>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</si>
  <si>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</si>
  <si>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</si>
  <si>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</si>
  <si>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</si>
  <si>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</si>
  <si>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</si>
  <si>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</si>
  <si>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</si>
  <si>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</si>
  <si>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</si>
  <si>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</si>
  <si>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</si>
  <si>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</si>
  <si>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</si>
  <si>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</si>
  <si>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</si>
  <si>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</si>
  <si>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</si>
  <si>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</si>
  <si>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</si>
  <si>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</si>
  <si>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</si>
  <si>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</si>
  <si>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</si>
  <si>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</si>
  <si>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</si>
  <si>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</si>
  <si>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</si>
  <si>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</si>
  <si>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</si>
  <si>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</si>
  <si>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</si>
  <si>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</si>
  <si>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</si>
  <si>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</si>
  <si>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</si>
  <si>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</si>
  <si>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</si>
  <si>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</si>
  <si>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</si>
  <si>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</si>
  <si>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</si>
  <si>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</si>
  <si>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</si>
  <si>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</si>
  <si>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</si>
  <si>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</si>
  <si>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</si>
  <si>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</si>
  <si>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</si>
  <si>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</si>
  <si>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</si>
  <si>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</si>
  <si>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</si>
  <si>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</si>
  <si>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</si>
  <si>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</si>
  <si>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</si>
  <si>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</si>
  <si>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</si>
  <si>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</si>
  <si>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</si>
  <si>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</si>
  <si>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</si>
  <si>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</si>
  <si>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</si>
  <si>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</si>
  <si>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</si>
  <si>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</si>
  <si>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</si>
  <si>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</si>
  <si>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</si>
  <si>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</si>
  <si>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</si>
  <si>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</si>
  <si>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</si>
  <si>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</si>
  <si>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</si>
  <si>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</si>
  <si>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</si>
  <si>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</si>
  <si>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</si>
  <si>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</si>
  <si>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</si>
  <si>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</si>
  <si>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</si>
  <si>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</si>
  <si>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</si>
  <si>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</si>
  <si>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</si>
  <si>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</si>
  <si>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</si>
  <si>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</si>
  <si>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</si>
  <si>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</si>
  <si>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</si>
  <si>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</si>
  <si>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</si>
  <si>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</si>
  <si>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</si>
  <si>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</si>
  <si>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</si>
  <si>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</si>
  <si>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</si>
  <si>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</si>
  <si>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</si>
  <si>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</si>
  <si>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</si>
  <si>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</si>
  <si>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</si>
  <si>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</si>
  <si>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</si>
  <si>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</si>
  <si>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</si>
  <si>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</si>
  <si>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</si>
  <si>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</si>
  <si>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</si>
  <si>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</si>
  <si>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</si>
  <si>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</si>
  <si>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</si>
  <si>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</si>
  <si>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</si>
  <si>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</si>
  <si>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</si>
  <si>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</si>
  <si>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</si>
  <si>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</si>
  <si>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</si>
  <si>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</si>
  <si>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</si>
  <si>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</si>
  <si>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</si>
  <si>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</si>
  <si>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</si>
  <si>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</si>
  <si>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</si>
  <si>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</si>
  <si>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</si>
  <si>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</si>
  <si>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</si>
  <si>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</si>
  <si>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</si>
  <si>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</si>
  <si>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</si>
  <si>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</si>
  <si>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</si>
  <si>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</si>
  <si>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</si>
  <si>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</si>
  <si>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</si>
  <si>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</si>
  <si>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</si>
  <si>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</si>
  <si>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</si>
  <si>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</si>
  <si>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</si>
  <si>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</si>
  <si>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</si>
  <si>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</si>
  <si>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</si>
  <si>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</si>
  <si>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</si>
  <si>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</si>
  <si>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</si>
  <si>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</si>
  <si>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</si>
  <si>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</si>
  <si>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</si>
  <si>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</si>
  <si>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</si>
  <si>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</si>
  <si>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</si>
  <si>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</si>
  <si>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</si>
  <si>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</si>
  <si>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</si>
  <si>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</si>
  <si>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</si>
  <si>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</si>
  <si>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</si>
  <si>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</si>
  <si>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</si>
  <si>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</si>
  <si>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</si>
  <si>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</si>
  <si>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</si>
  <si>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</si>
  <si>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</si>
  <si>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</si>
  <si>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</si>
  <si>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</si>
  <si>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</si>
  <si>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</si>
  <si>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</si>
  <si>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</si>
  <si>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</si>
  <si>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</si>
  <si>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</si>
  <si>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</si>
  <si>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</si>
  <si>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</si>
  <si>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</si>
  <si>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</si>
  <si>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</si>
  <si>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</si>
  <si>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</si>
  <si>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</si>
  <si>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</si>
  <si>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</si>
  <si>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</si>
  <si>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</si>
  <si>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</si>
  <si>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</si>
  <si>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</si>
  <si>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</si>
  <si>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</si>
  <si>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</si>
  <si>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</si>
  <si>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</si>
  <si>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</si>
  <si>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</si>
  <si>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</si>
  <si>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</si>
  <si>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</si>
  <si>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</si>
  <si>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</si>
  <si>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</si>
  <si>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</si>
  <si>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</si>
  <si>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</si>
  <si>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</si>
  <si>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</si>
  <si>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</si>
  <si>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</si>
  <si>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</si>
  <si>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</si>
  <si>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</si>
  <si>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</si>
  <si>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</si>
  <si>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</si>
  <si>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</si>
  <si>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</si>
  <si>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</si>
  <si>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</si>
  <si>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</si>
  <si>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</si>
  <si>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</si>
  <si>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</si>
  <si>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</si>
  <si>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</si>
  <si>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</si>
  <si>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</si>
  <si>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</si>
  <si>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</si>
  <si>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</si>
  <si>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</si>
  <si>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</si>
  <si>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</si>
  <si>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</si>
  <si>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</si>
  <si>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</si>
  <si>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</si>
  <si>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</si>
  <si>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</si>
  <si>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</si>
  <si>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</si>
  <si>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</si>
  <si>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</si>
  <si>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</si>
  <si>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</si>
  <si>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</si>
  <si>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</si>
  <si>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</si>
  <si>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</si>
  <si>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</si>
  <si>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</si>
  <si>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</si>
  <si>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</si>
  <si>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</si>
  <si>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</si>
  <si>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</si>
  <si>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</si>
  <si>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</si>
  <si>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</si>
  <si>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</si>
  <si>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</si>
  <si>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</si>
  <si>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</si>
  <si>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</si>
  <si>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</si>
  <si>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</si>
  <si>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</si>
  <si>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</si>
  <si>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</si>
  <si>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</si>
  <si>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</si>
  <si>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</si>
  <si>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</si>
  <si>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</si>
  <si>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</si>
  <si>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</si>
  <si>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</si>
  <si>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</si>
  <si>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</si>
  <si>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</si>
  <si>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</si>
  <si>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</si>
  <si>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</si>
  <si>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</si>
  <si>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</si>
  <si>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</si>
  <si>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</si>
  <si>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</si>
  <si>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</si>
  <si>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</si>
  <si>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</si>
  <si>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</si>
  <si>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</si>
  <si>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</si>
  <si>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</si>
  <si>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</si>
  <si>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</si>
  <si>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</si>
  <si>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</si>
  <si>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</si>
  <si>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</si>
  <si>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</si>
  <si>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</si>
  <si>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</si>
  <si>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</si>
  <si>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</si>
  <si>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</si>
  <si>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</si>
  <si>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</si>
  <si>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</si>
  <si>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</si>
  <si>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</si>
  <si>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</si>
  <si>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</si>
  <si>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</si>
  <si>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</si>
  <si>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</si>
  <si>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</si>
  <si>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</si>
  <si>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</si>
  <si>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</si>
  <si>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</si>
  <si>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</si>
  <si>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</si>
  <si>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</si>
  <si>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</si>
  <si>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</si>
  <si>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</si>
  <si>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</si>
  <si>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</si>
  <si>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</si>
  <si>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</si>
  <si>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</si>
  <si>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</si>
  <si>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</si>
  <si>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</si>
  <si>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</si>
  <si>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</si>
  <si>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</si>
  <si>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</si>
  <si>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</si>
  <si>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</si>
  <si>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</si>
  <si>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</si>
  <si>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</si>
  <si>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</si>
  <si>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</si>
  <si>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</si>
  <si>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</si>
  <si>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</si>
  <si>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</si>
  <si>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</si>
  <si>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</si>
  <si>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</si>
  <si>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</si>
  <si>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</si>
  <si>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</si>
  <si>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</si>
  <si>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</si>
  <si>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</si>
  <si>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</si>
  <si>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</si>
  <si>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</si>
  <si>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</si>
  <si>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</si>
  <si>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</si>
  <si>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</si>
  <si>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</si>
  <si>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</si>
  <si>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</si>
  <si>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</si>
  <si>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</si>
  <si>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</si>
  <si>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</si>
  <si>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</si>
  <si>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</si>
  <si>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</si>
  <si>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</si>
  <si>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</si>
  <si>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</si>
  <si>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</si>
  <si>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</si>
  <si>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</si>
  <si>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</si>
  <si>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</si>
  <si>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</si>
  <si>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</si>
  <si>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</si>
  <si>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</si>
  <si>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</si>
  <si>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</si>
  <si>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</si>
  <si>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</si>
  <si>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</si>
  <si>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</si>
  <si>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</si>
  <si>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</si>
  <si>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</si>
  <si>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</si>
  <si>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</si>
  <si>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</si>
  <si>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</si>
  <si>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</si>
  <si>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</si>
  <si>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</si>
  <si>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</si>
  <si>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</si>
  <si>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</si>
  <si>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</si>
  <si>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</si>
  <si>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</si>
  <si>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</si>
  <si>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</si>
  <si>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</si>
  <si>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</si>
  <si>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</si>
  <si>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</si>
  <si>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</si>
  <si>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</si>
  <si>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</si>
  <si>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</si>
  <si>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</si>
  <si>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</si>
  <si>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</si>
  <si>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</si>
  <si>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</si>
  <si>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</si>
  <si>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</si>
  <si>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</si>
  <si>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</si>
  <si>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</si>
  <si>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</si>
  <si>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</si>
  <si>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</si>
  <si>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</si>
  <si>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</si>
  <si>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</si>
  <si>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</si>
  <si>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</si>
  <si>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</si>
  <si>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</si>
  <si>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</si>
  <si>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</si>
  <si>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</si>
  <si>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</si>
  <si>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</si>
  <si>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</si>
  <si>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</si>
  <si>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</si>
  <si>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</si>
  <si>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</si>
  <si>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</si>
  <si>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</si>
  <si>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</si>
  <si>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</si>
  <si>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</si>
  <si>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</si>
  <si>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</si>
  <si>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</si>
  <si>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</si>
  <si>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</si>
  <si>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</si>
  <si>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</si>
  <si>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</si>
  <si>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</si>
  <si>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</si>
  <si>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</si>
  <si>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</si>
  <si>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</si>
  <si>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</si>
  <si>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</si>
  <si>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</si>
  <si>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</si>
  <si>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</si>
  <si>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</si>
  <si>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</si>
  <si>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</si>
  <si>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</si>
  <si>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</si>
  <si>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</si>
  <si>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</si>
  <si>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</si>
  <si>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</si>
  <si>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</si>
  <si>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</si>
  <si>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</si>
  <si>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</si>
  <si>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</si>
  <si>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</si>
  <si>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</si>
  <si>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</si>
  <si>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</si>
  <si>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</si>
  <si>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</si>
  <si>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</si>
  <si>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</si>
  <si>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</si>
  <si>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</si>
  <si>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</si>
  <si>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</si>
  <si>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</si>
  <si>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</si>
  <si>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</si>
  <si>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</si>
  <si>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</si>
  <si>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</si>
  <si>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</si>
  <si>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</si>
  <si>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</si>
  <si>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</si>
  <si>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</si>
  <si>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</si>
  <si>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</si>
  <si>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</si>
  <si>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</si>
  <si>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</si>
  <si>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</si>
  <si>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</si>
  <si>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</si>
  <si>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</si>
  <si>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</si>
  <si>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</si>
  <si>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</si>
  <si>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</si>
  <si>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</si>
  <si>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</si>
  <si>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</si>
  <si>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</si>
  <si>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</si>
  <si>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</si>
  <si>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</si>
  <si>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</si>
  <si>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</si>
  <si>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</si>
  <si>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</si>
  <si>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</si>
  <si>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</si>
  <si>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</si>
  <si>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</si>
  <si>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</si>
  <si>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</si>
  <si>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</si>
  <si>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</si>
  <si>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</si>
  <si>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</si>
  <si>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</si>
  <si>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</si>
  <si>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</si>
  <si>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</si>
  <si>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</si>
  <si>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</si>
  <si>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</si>
  <si>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</si>
  <si>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</si>
  <si>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</si>
  <si>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</si>
  <si>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</si>
  <si>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</si>
  <si>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</si>
  <si>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</si>
  <si>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</si>
  <si>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</si>
  <si>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</si>
  <si>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</si>
  <si>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</si>
  <si>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</si>
  <si>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</si>
  <si>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</si>
  <si>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</si>
  <si>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</si>
  <si>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</si>
  <si>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</si>
  <si>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</si>
  <si>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</si>
  <si>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</si>
  <si>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</si>
  <si>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</si>
  <si>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</si>
  <si>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</si>
  <si>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</si>
  <si>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</si>
  <si>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</si>
  <si>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</si>
  <si>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</si>
  <si>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</si>
  <si>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</si>
  <si>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</si>
  <si>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</si>
  <si>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</si>
  <si>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</si>
  <si>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</si>
  <si>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</si>
  <si>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</si>
  <si>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</si>
  <si>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</si>
  <si>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</si>
  <si>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</si>
  <si>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</si>
  <si>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</si>
  <si>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</si>
  <si>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</si>
  <si>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</si>
  <si>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</si>
  <si>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</si>
  <si>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</si>
  <si>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</si>
  <si>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</si>
  <si>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</si>
  <si>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</si>
  <si>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</si>
  <si>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</si>
  <si>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</si>
  <si>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</si>
  <si>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</si>
  <si>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</si>
  <si>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</si>
  <si>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</si>
  <si>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</si>
  <si>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</si>
  <si>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</si>
  <si>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</si>
  <si>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</si>
  <si>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</si>
  <si>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</si>
  <si>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</si>
  <si>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</si>
  <si>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</si>
  <si>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</si>
  <si>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</si>
  <si>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</si>
  <si>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</si>
  <si>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</si>
  <si>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</si>
  <si>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</si>
  <si>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</si>
  <si>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</si>
  <si>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</si>
  <si>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</si>
  <si>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</si>
  <si>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</si>
  <si>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</si>
  <si>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</si>
  <si>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</si>
  <si>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</si>
  <si>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</si>
  <si>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</si>
  <si>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</si>
  <si>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</si>
  <si>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</si>
  <si>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</si>
  <si>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</si>
  <si>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</si>
  <si>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</si>
  <si>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</si>
  <si>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</si>
  <si>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</si>
  <si>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</si>
  <si>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</si>
  <si>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</si>
  <si>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</si>
  <si>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</si>
  <si>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</si>
  <si>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</si>
  <si>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</si>
  <si>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</si>
  <si>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</si>
  <si>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</si>
  <si>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</si>
  <si>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</si>
  <si>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</si>
  <si>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</si>
  <si>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</si>
  <si>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</si>
  <si>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</si>
  <si>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</si>
  <si>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</si>
  <si>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</si>
  <si>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</si>
  <si>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</si>
  <si>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</si>
  <si>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</si>
  <si>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</si>
  <si>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</si>
  <si>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</si>
  <si>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</si>
  <si>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</si>
  <si>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</si>
  <si>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</si>
  <si>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</si>
  <si>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</si>
  <si>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</si>
  <si>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</si>
  <si>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</si>
  <si>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</si>
  <si>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</si>
  <si>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</si>
  <si>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</si>
  <si>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</si>
  <si>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</si>
  <si>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</si>
  <si>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</si>
  <si>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</si>
  <si>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</si>
  <si>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</si>
  <si>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</si>
  <si>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</si>
  <si>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</si>
  <si>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</si>
  <si>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</si>
  <si>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</si>
  <si>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</si>
  <si>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</si>
  <si>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</si>
  <si>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</si>
  <si>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</si>
  <si>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</si>
  <si>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</si>
  <si>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</si>
  <si>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</si>
  <si>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</si>
  <si>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</si>
  <si>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</si>
  <si>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</si>
  <si>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</si>
  <si>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</si>
  <si>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</si>
  <si>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</si>
  <si>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</si>
  <si>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</si>
  <si>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</si>
  <si>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</si>
  <si>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</si>
  <si>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</si>
  <si>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</si>
  <si>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</si>
  <si>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</si>
  <si>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</si>
  <si>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</si>
  <si>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</si>
  <si>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</si>
  <si>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</si>
  <si>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</si>
  <si>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</si>
  <si>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</si>
  <si>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</si>
  <si>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</si>
  <si>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</si>
  <si>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</si>
  <si>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</si>
  <si>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</si>
  <si>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</si>
  <si>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</si>
  <si>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</si>
  <si>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</si>
  <si>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</si>
  <si>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</si>
  <si>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</si>
  <si>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</si>
  <si>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</si>
  <si>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</si>
  <si>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</si>
  <si>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</si>
  <si>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</si>
  <si>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</si>
  <si>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</si>
  <si>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</si>
  <si>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</si>
  <si>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</si>
  <si>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</si>
  <si>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</si>
  <si>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</si>
  <si>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</si>
  <si>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</si>
  <si>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</si>
  <si>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</si>
  <si>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</si>
  <si>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</si>
  <si>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</si>
  <si>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</si>
  <si>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</si>
  <si>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</si>
  <si>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</si>
  <si>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</si>
  <si>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</si>
  <si>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</si>
  <si>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</si>
  <si>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</si>
  <si>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</si>
  <si>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</si>
  <si>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</si>
  <si>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</si>
  <si>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</si>
  <si>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</si>
  <si>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</si>
  <si>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</si>
  <si>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</si>
  <si>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</si>
  <si>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</si>
  <si>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</si>
  <si>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</si>
  <si>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</si>
  <si>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</si>
  <si>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</si>
  <si>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</si>
  <si>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</si>
  <si>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</si>
  <si>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</si>
  <si>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</si>
  <si>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</si>
  <si>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</si>
  <si>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</si>
  <si>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</si>
  <si>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</si>
  <si>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</si>
  <si>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</si>
  <si>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</si>
  <si>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</si>
  <si>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</si>
  <si>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</si>
  <si>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</si>
  <si>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</si>
  <si>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</si>
  <si>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</si>
  <si>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</si>
  <si>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</si>
  <si>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</si>
  <si>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</si>
  <si>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</si>
  <si>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</si>
  <si>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</si>
  <si>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</si>
  <si>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</si>
  <si>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</si>
  <si>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</si>
  <si>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</si>
  <si>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</si>
  <si>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</si>
  <si>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</si>
  <si>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</si>
  <si>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</si>
  <si>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</si>
  <si>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</si>
  <si>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</si>
  <si>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</si>
  <si>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</si>
  <si>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</si>
  <si>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</si>
  <si>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</si>
  <si>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</si>
  <si>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</si>
  <si>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</si>
  <si>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</si>
  <si>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</si>
  <si>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</si>
  <si>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</si>
  <si>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</si>
  <si>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</si>
  <si>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</si>
  <si>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</si>
  <si>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</si>
  <si>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</si>
  <si>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</si>
  <si>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</si>
  <si>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</si>
  <si>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</si>
  <si>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</si>
  <si>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</si>
  <si>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</si>
  <si>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</si>
  <si>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</si>
  <si>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</si>
  <si>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</si>
  <si>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</si>
  <si>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</si>
  <si>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</si>
  <si>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</si>
  <si>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</si>
  <si>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</si>
  <si>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</si>
  <si>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</si>
  <si>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</si>
  <si>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</si>
  <si>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</si>
  <si>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</si>
  <si>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</si>
  <si>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</si>
  <si>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</si>
  <si>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</si>
  <si>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</si>
  <si>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</si>
  <si>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</si>
  <si>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</si>
  <si>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</si>
  <si>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</si>
  <si>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</si>
  <si>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</si>
  <si>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</si>
  <si>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</si>
  <si>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</si>
  <si>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</si>
  <si>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</si>
  <si>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</si>
  <si>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</si>
  <si>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</si>
  <si>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</si>
  <si>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</si>
  <si>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</si>
  <si>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</si>
  <si>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</si>
  <si>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</si>
  <si>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</si>
  <si>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</si>
  <si>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</si>
  <si>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</si>
  <si>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</si>
  <si>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</si>
  <si>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</si>
  <si>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</si>
  <si>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</si>
  <si>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</si>
  <si>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</si>
  <si>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</si>
  <si>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</si>
  <si>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</si>
  <si>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</si>
  <si>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</si>
  <si>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</si>
  <si>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</si>
  <si>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</si>
  <si>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</si>
  <si>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</si>
  <si>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</si>
  <si>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</si>
  <si>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</si>
  <si>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</si>
  <si>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</si>
  <si>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</si>
  <si>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</si>
  <si>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</si>
  <si>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</si>
  <si>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</si>
  <si>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</si>
  <si>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</si>
  <si>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</si>
  <si>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</si>
  <si>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</si>
  <si>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</si>
  <si>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</si>
  <si>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</si>
  <si>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</si>
  <si>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</si>
  <si>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</si>
  <si>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</si>
  <si>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</si>
  <si>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</si>
  <si>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</si>
  <si>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</si>
  <si>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</si>
  <si>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</si>
  <si>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</si>
  <si>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</si>
  <si>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</si>
  <si>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</si>
  <si>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</si>
  <si>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</si>
  <si>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</si>
  <si>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</si>
  <si>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</si>
  <si>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</si>
  <si>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</si>
  <si>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</si>
  <si>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</si>
  <si>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</si>
  <si>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</si>
  <si>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</si>
  <si>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</si>
  <si>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</si>
  <si>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</si>
  <si>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</si>
  <si>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</si>
  <si>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</si>
  <si>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</si>
  <si>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</si>
  <si>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</si>
  <si>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</si>
  <si>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</si>
  <si>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</si>
  <si>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</si>
  <si>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</si>
  <si>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</si>
  <si>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</si>
  <si>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</si>
  <si>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</si>
  <si>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</si>
  <si>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</si>
  <si>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</si>
  <si>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</si>
  <si>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</si>
  <si>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</si>
  <si>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</si>
  <si>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</si>
  <si>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</si>
  <si>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</si>
  <si>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</si>
  <si>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</si>
  <si>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</si>
  <si>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</si>
  <si>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</si>
  <si>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</si>
  <si>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</si>
  <si>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</si>
  <si>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</si>
  <si>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</si>
  <si>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</si>
  <si>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</si>
  <si>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</si>
  <si>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</si>
  <si>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</si>
  <si>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</si>
  <si>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</si>
  <si>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</si>
  <si>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</si>
  <si>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</si>
  <si>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</si>
  <si>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</si>
  <si>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</si>
  <si>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</si>
  <si>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</si>
  <si>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</si>
  <si>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</si>
  <si>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</si>
  <si>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</si>
  <si>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</si>
  <si>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</si>
  <si>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</si>
  <si>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</si>
  <si>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</si>
  <si>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</si>
  <si>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</si>
  <si>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</si>
  <si>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</si>
  <si>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</si>
  <si>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</si>
  <si>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</si>
  <si>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</si>
  <si>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</si>
  <si>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</si>
  <si>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</si>
  <si>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</si>
  <si>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</si>
  <si>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</si>
  <si>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</si>
  <si>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</si>
  <si>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</si>
  <si>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</si>
  <si>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</si>
  <si>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</si>
  <si>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</si>
  <si>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</si>
  <si>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</si>
  <si>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</si>
  <si>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</si>
  <si>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</si>
  <si>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</si>
  <si>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</si>
  <si>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</si>
  <si>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</si>
  <si>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</si>
  <si>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</si>
  <si>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</si>
  <si>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</si>
  <si>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</si>
  <si>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</si>
  <si>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</si>
  <si>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</si>
  <si>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</si>
  <si>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</si>
  <si>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</si>
  <si>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</si>
  <si>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</si>
  <si>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</si>
  <si>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</si>
  <si>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</si>
  <si>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</si>
  <si>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</si>
  <si>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</si>
  <si>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</si>
  <si>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</si>
  <si>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</si>
  <si>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</si>
  <si>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</si>
  <si>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</si>
  <si>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</si>
  <si>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</si>
  <si>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</si>
  <si>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</si>
  <si>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</si>
  <si>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</si>
  <si>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</si>
  <si>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</si>
  <si>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</si>
  <si>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</si>
  <si>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</si>
  <si>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</si>
  <si>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</si>
  <si>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</si>
  <si>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</si>
  <si>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</si>
  <si>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</si>
  <si>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</si>
  <si>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</si>
  <si>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</si>
  <si>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</si>
  <si>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</si>
  <si>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</si>
  <si>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</si>
  <si>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</si>
  <si>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</si>
  <si>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</si>
  <si>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</si>
  <si>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</si>
  <si>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</si>
  <si>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</si>
  <si>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</si>
  <si>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</si>
  <si>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</si>
  <si>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</si>
  <si>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</si>
  <si>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</si>
  <si>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</si>
  <si>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</si>
  <si>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</si>
  <si>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</si>
  <si>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</si>
  <si>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</si>
  <si>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</si>
  <si>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</si>
  <si>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</si>
  <si>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</si>
  <si>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</si>
  <si>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</si>
  <si>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</si>
  <si>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</si>
  <si>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</si>
  <si>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</si>
  <si>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</si>
  <si>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</si>
  <si>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</si>
  <si>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</si>
  <si>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</si>
  <si>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</si>
  <si>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</si>
  <si>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</si>
  <si>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</si>
  <si>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</si>
  <si>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</si>
  <si>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</si>
  <si>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</si>
  <si>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</si>
  <si>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</si>
  <si>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</si>
  <si>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</si>
  <si>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</si>
  <si>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</si>
  <si>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</si>
  <si>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</si>
  <si>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</si>
  <si>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</si>
  <si>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</si>
  <si>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</si>
  <si>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</si>
  <si>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</si>
  <si>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</si>
  <si>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</si>
  <si>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</si>
  <si>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</si>
  <si>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</si>
  <si>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</si>
  <si>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</si>
  <si>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</si>
  <si>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</si>
  <si>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</si>
  <si>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</si>
  <si>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</si>
  <si>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</si>
  <si>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</si>
  <si>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</si>
  <si>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</si>
  <si>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</si>
  <si>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</si>
  <si>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</si>
  <si>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</si>
  <si>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</si>
  <si>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</si>
  <si>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</si>
  <si>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</si>
  <si>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</si>
  <si>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</si>
  <si>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</si>
  <si>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</si>
  <si>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</si>
  <si>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</si>
  <si>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</si>
  <si>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</si>
  <si>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</si>
  <si>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</si>
  <si>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</si>
  <si>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</si>
  <si>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</si>
  <si>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</si>
  <si>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</si>
  <si>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</si>
  <si>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</si>
  <si>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</si>
  <si>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</si>
  <si>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</si>
  <si>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</si>
  <si>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</si>
  <si>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</si>
  <si>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</si>
  <si>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</si>
  <si>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</si>
  <si>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</si>
  <si>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</si>
  <si>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</si>
  <si>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</si>
  <si>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</si>
  <si>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</si>
  <si>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</si>
  <si>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</si>
  <si>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</si>
  <si>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</si>
  <si>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</si>
  <si>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</si>
  <si>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</si>
  <si>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</si>
  <si>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</si>
  <si>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</si>
  <si>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</si>
  <si>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</si>
  <si>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</si>
  <si>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</si>
  <si>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</si>
  <si>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</si>
  <si>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</si>
  <si>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</si>
  <si>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</si>
  <si>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</si>
  <si>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</si>
  <si>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</si>
  <si>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</si>
  <si>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</si>
  <si>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</si>
  <si>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</si>
  <si>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</si>
  <si>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</si>
  <si>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</si>
  <si>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</si>
  <si>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</si>
  <si>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</si>
  <si>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</si>
  <si>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</si>
  <si>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</si>
  <si>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</si>
  <si>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</si>
  <si>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</si>
  <si>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</si>
  <si>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</si>
  <si>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</si>
  <si>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</si>
  <si>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</si>
  <si>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</si>
  <si>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</si>
  <si>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</si>
  <si>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</si>
  <si>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</si>
  <si>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</si>
  <si>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</si>
  <si>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</si>
  <si>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</si>
  <si>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</si>
  <si>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</si>
  <si>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</si>
  <si>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</si>
  <si>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</si>
  <si>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</si>
  <si>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</si>
  <si>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</si>
  <si>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</si>
  <si>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</si>
  <si>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</si>
  <si>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</si>
  <si>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</si>
  <si>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</si>
  <si>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</si>
  <si>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</si>
  <si>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</si>
  <si>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</si>
  <si>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</si>
  <si>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</si>
  <si>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</si>
  <si>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</si>
  <si>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</si>
  <si>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</si>
  <si>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</si>
  <si>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</si>
  <si>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</si>
  <si>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</si>
  <si>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</si>
  <si>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</si>
  <si>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</si>
  <si>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</si>
  <si>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</si>
  <si>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</si>
  <si>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</si>
  <si>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</si>
  <si>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</si>
  <si>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</si>
  <si>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</si>
  <si>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</si>
  <si>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</si>
  <si>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</si>
  <si>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</si>
  <si>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</si>
  <si>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</si>
  <si>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</si>
  <si>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</si>
  <si>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</si>
  <si>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</si>
  <si>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</si>
  <si>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</si>
  <si>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</si>
  <si>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</si>
  <si>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</si>
  <si>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</si>
  <si>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</si>
  <si>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</si>
  <si>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</si>
  <si>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</si>
  <si>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</si>
  <si>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</si>
  <si>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</si>
  <si>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</si>
  <si>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</si>
  <si>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</si>
  <si>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</si>
  <si>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</si>
  <si>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</si>
  <si>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</si>
  <si>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</si>
  <si>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</si>
  <si>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</si>
  <si>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</si>
  <si>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</si>
  <si>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</si>
  <si>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</si>
  <si>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</si>
  <si>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</si>
  <si>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</si>
  <si>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</si>
  <si>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</si>
  <si>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</si>
  <si>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</si>
  <si>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</si>
  <si>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</si>
  <si>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</si>
  <si>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</si>
  <si>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</si>
  <si>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</si>
  <si>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</si>
  <si>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</si>
  <si>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</si>
  <si>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</si>
  <si>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</si>
  <si>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</si>
  <si>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</si>
  <si>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</si>
  <si>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</si>
  <si>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</si>
  <si>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</si>
  <si>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</si>
  <si>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</si>
  <si>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</si>
  <si>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</si>
  <si>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</si>
  <si>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</si>
  <si>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</si>
  <si>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</si>
  <si>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</si>
  <si>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</si>
  <si>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</si>
  <si>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</si>
  <si>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</si>
  <si>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</si>
  <si>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</si>
  <si>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</si>
  <si>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</si>
  <si>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</si>
  <si>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</si>
  <si>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</si>
  <si>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</si>
  <si>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</si>
  <si>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</si>
  <si>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</si>
  <si>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</si>
  <si>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</si>
  <si>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</si>
  <si>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</si>
  <si>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</si>
  <si>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</si>
  <si>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</si>
  <si>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</si>
  <si>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</si>
  <si>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</si>
  <si>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</si>
  <si>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</si>
  <si>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</si>
  <si>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</si>
  <si>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</si>
  <si>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</si>
  <si>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</si>
  <si>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</si>
  <si>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</si>
  <si>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</si>
  <si>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</si>
  <si>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</si>
  <si>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</si>
  <si>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</si>
  <si>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</si>
  <si>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</si>
  <si>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</si>
  <si>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</si>
  <si>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</si>
  <si>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</si>
  <si>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</si>
  <si>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</si>
  <si>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</si>
  <si>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</si>
  <si>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</si>
  <si>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</si>
  <si>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</si>
  <si>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</si>
  <si>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</si>
  <si>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</si>
  <si>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</si>
  <si>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</si>
  <si>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</si>
  <si>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</si>
  <si>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</si>
  <si>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</si>
  <si>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</si>
  <si>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</si>
  <si>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</si>
  <si>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</si>
  <si>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</si>
  <si>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</si>
  <si>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</si>
  <si>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</si>
  <si>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</si>
  <si>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</si>
  <si>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</si>
  <si>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</si>
  <si>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</si>
  <si>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</si>
  <si>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</si>
  <si>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</si>
  <si>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</si>
  <si>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</si>
  <si>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</si>
  <si>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</si>
  <si>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</si>
  <si>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</si>
  <si>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</si>
  <si>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</si>
  <si>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</si>
  <si>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</si>
  <si>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</si>
  <si>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</si>
  <si>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</si>
  <si>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</si>
  <si>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</si>
  <si>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</si>
  <si>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</si>
  <si>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</si>
  <si>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</si>
  <si>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</si>
  <si>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</si>
  <si>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</si>
  <si>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</si>
  <si>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</si>
  <si>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</si>
  <si>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</si>
  <si>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</si>
  <si>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</si>
  <si>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</si>
  <si>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</si>
  <si>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</si>
  <si>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</si>
  <si>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</si>
  <si>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</si>
  <si>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</si>
  <si>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</si>
  <si>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</si>
  <si>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</si>
  <si>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</si>
  <si>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</si>
  <si>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</si>
  <si>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</si>
  <si>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</si>
  <si>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</si>
  <si>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</si>
  <si>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</si>
  <si>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</si>
  <si>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</si>
  <si>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</si>
  <si>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</si>
  <si>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</si>
  <si>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</si>
  <si>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</si>
  <si>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</si>
  <si>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</si>
  <si>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</si>
  <si>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</si>
  <si>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</si>
  <si>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</si>
  <si>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</si>
  <si>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</si>
  <si>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</si>
  <si>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</si>
  <si>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</si>
  <si>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</si>
  <si>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</si>
  <si>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</si>
  <si>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</si>
  <si>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</si>
  <si>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</si>
  <si>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</si>
  <si>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</si>
  <si>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</si>
  <si>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</si>
  <si>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</si>
  <si>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</si>
  <si>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</si>
  <si>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</si>
  <si>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</si>
  <si>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</si>
  <si>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</si>
  <si>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</si>
  <si>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</si>
  <si>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</si>
  <si>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</si>
  <si>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</si>
  <si>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</si>
  <si>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</si>
  <si>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</si>
  <si>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</si>
  <si>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</si>
  <si>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</si>
  <si>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</si>
  <si>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</si>
  <si>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</si>
  <si>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</si>
  <si>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</si>
  <si>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</si>
  <si>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</si>
  <si>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</si>
  <si>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</si>
  <si>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</si>
  <si>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</si>
  <si>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</si>
  <si>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</si>
  <si>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</si>
  <si>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</si>
  <si>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</si>
  <si>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</si>
  <si>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</si>
  <si>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</si>
  <si>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</si>
  <si>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</si>
  <si>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</si>
  <si>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</si>
  <si>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</si>
  <si>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</si>
  <si>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</si>
  <si>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</si>
  <si>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</si>
  <si>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</si>
  <si>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</si>
  <si>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</si>
  <si>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</si>
  <si>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</si>
  <si>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</si>
  <si>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</si>
  <si>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</si>
  <si>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</si>
  <si>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</si>
  <si>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</si>
  <si>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</si>
  <si>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</si>
  <si>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</si>
  <si>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</si>
  <si>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</si>
  <si>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</si>
  <si>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</si>
  <si>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</si>
  <si>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</si>
  <si>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</si>
  <si>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</si>
  <si>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</si>
  <si>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</si>
  <si>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</si>
  <si>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</si>
  <si>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</si>
  <si>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</si>
  <si>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</si>
  <si>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</si>
  <si>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</si>
  <si>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</si>
  <si>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</si>
  <si>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</si>
  <si>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</si>
  <si>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</si>
  <si>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</si>
  <si>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</si>
  <si>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</si>
  <si>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</si>
  <si>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</si>
  <si>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</si>
  <si>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</si>
  <si>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</si>
  <si>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</si>
  <si>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</si>
  <si>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</si>
  <si>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</si>
  <si>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</si>
  <si>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</si>
  <si>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</si>
  <si>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</si>
  <si>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</si>
  <si>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</si>
  <si>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</si>
  <si>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</si>
  <si>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</si>
  <si>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</si>
  <si>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</si>
  <si>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</si>
  <si>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</si>
  <si>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</si>
  <si>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</si>
  <si>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</si>
  <si>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</si>
  <si>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</si>
  <si>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</si>
  <si>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</si>
  <si>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</si>
  <si>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</si>
  <si>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</si>
  <si>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</si>
  <si>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</si>
  <si>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</si>
  <si>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</si>
  <si>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</si>
  <si>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</si>
  <si>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</si>
  <si>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</si>
  <si>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</si>
  <si>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</si>
  <si>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</si>
  <si>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</si>
  <si>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</si>
  <si>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</si>
  <si>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</si>
  <si>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</si>
  <si>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</si>
  <si>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</si>
  <si>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</si>
  <si>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</si>
  <si>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</si>
  <si>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</si>
  <si>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</si>
  <si>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</si>
  <si>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</si>
  <si>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</si>
  <si>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</si>
  <si>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</si>
  <si>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</si>
  <si>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</si>
  <si>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</si>
  <si>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</si>
  <si>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</si>
  <si>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</si>
  <si>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</si>
  <si>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</si>
  <si>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</si>
  <si>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</si>
  <si>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</si>
  <si>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</si>
  <si>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</si>
  <si>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</si>
  <si>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</si>
  <si>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</si>
  <si>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</si>
  <si>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</si>
  <si>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</si>
  <si>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</si>
  <si>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</si>
  <si>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</si>
  <si>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</si>
  <si>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</si>
  <si>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</si>
  <si>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</si>
  <si>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</si>
  <si>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</si>
  <si>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</si>
  <si>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</si>
  <si>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</si>
  <si>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</si>
  <si>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</si>
  <si>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</si>
  <si>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</si>
  <si>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</si>
  <si>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</si>
  <si>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</si>
  <si>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</si>
  <si>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</si>
  <si>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</si>
  <si>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</si>
  <si>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</si>
  <si>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</si>
  <si>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</si>
  <si>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</si>
  <si>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</si>
  <si>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</si>
  <si>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</si>
  <si>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</si>
  <si>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</si>
  <si>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</si>
  <si>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</si>
  <si>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</si>
  <si>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</si>
  <si>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</si>
  <si>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</si>
  <si>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</si>
  <si>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</si>
  <si>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</si>
  <si>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</si>
  <si>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</si>
  <si>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</si>
  <si>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</si>
  <si>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</si>
  <si>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</si>
  <si>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</si>
  <si>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</si>
  <si>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</si>
  <si>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</si>
  <si>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</si>
  <si>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</si>
  <si>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</si>
  <si>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</si>
  <si>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</si>
  <si>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</si>
  <si>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</si>
  <si>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</si>
  <si>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</si>
  <si>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</si>
  <si>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</si>
  <si>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</si>
  <si>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</si>
  <si>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</si>
  <si>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</si>
  <si>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</si>
  <si>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</si>
  <si>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</si>
  <si>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</si>
  <si>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</si>
  <si>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</si>
  <si>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</si>
  <si>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</si>
  <si>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</si>
  <si>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</si>
  <si>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</si>
  <si>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</si>
  <si>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</si>
  <si>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</si>
  <si>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</si>
  <si>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</si>
  <si>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</si>
  <si>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</si>
  <si>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</si>
  <si>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</si>
  <si>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</si>
  <si>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</si>
  <si>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</si>
  <si>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</si>
  <si>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</si>
  <si>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</si>
  <si>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</si>
  <si>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</si>
  <si>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</si>
  <si>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</si>
  <si>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</si>
  <si>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</si>
  <si>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</si>
  <si>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</si>
  <si>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</si>
  <si>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</si>
  <si>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</si>
  <si>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</si>
  <si>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</si>
  <si>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</si>
  <si>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</si>
  <si>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</si>
  <si>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</si>
  <si>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</si>
  <si>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</si>
  <si>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</si>
  <si>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</si>
  <si>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</si>
  <si>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</si>
  <si>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</si>
  <si>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</si>
  <si>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</si>
  <si>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</si>
  <si>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</si>
  <si>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</si>
  <si>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</si>
  <si>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</si>
  <si>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</si>
  <si>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</si>
  <si>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</si>
  <si>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</si>
  <si>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</si>
  <si>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</si>
  <si>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</si>
  <si>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</si>
  <si>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</si>
  <si>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</si>
  <si>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</si>
  <si>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</si>
  <si>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</si>
  <si>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</si>
  <si>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</si>
  <si>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</si>
  <si>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</si>
  <si>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</si>
  <si>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</si>
  <si>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</si>
  <si>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</si>
  <si>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</si>
  <si>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</si>
  <si>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</si>
  <si>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</si>
  <si>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</si>
  <si>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</si>
  <si>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</si>
  <si>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</si>
  <si>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</si>
  <si>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</si>
  <si>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</si>
  <si>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</si>
  <si>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</si>
  <si>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</si>
  <si>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</si>
  <si>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</si>
  <si>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</si>
  <si>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</si>
  <si>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</si>
  <si>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</si>
  <si>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</si>
  <si>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</si>
  <si>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</si>
  <si>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</si>
  <si>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</si>
  <si>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</si>
  <si>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</si>
  <si>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</si>
  <si>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</si>
  <si>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</si>
  <si>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</si>
  <si>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</si>
  <si>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</si>
  <si>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</si>
  <si>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</si>
  <si>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</si>
  <si>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</si>
  <si>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</si>
  <si>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</si>
  <si>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</si>
  <si>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</si>
  <si>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</si>
  <si>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</si>
  <si>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</si>
  <si>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</si>
  <si>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</si>
  <si>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</si>
  <si>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</si>
  <si>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</si>
  <si>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</si>
  <si>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</si>
  <si>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</si>
  <si>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</si>
  <si>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</si>
  <si>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</si>
  <si>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</si>
  <si>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</si>
  <si>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</si>
  <si>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</si>
  <si>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</si>
  <si>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</si>
  <si>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</si>
  <si>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</si>
  <si>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</si>
  <si>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</si>
  <si>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</si>
  <si>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</si>
  <si>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</si>
  <si>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</si>
  <si>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</si>
  <si>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</si>
  <si>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</si>
  <si>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</si>
  <si>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</si>
  <si>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</si>
  <si>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</si>
  <si>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</si>
  <si>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</si>
  <si>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</si>
  <si>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</si>
  <si>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</si>
  <si>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</si>
  <si>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</si>
  <si>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</si>
  <si>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</si>
  <si>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</si>
  <si>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</si>
  <si>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</si>
  <si>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</si>
  <si>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</si>
  <si>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</si>
  <si>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</si>
  <si>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</si>
  <si>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</si>
  <si>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</si>
  <si>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</si>
  <si>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</si>
  <si>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</si>
  <si>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</si>
  <si>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</si>
  <si>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</si>
  <si>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</si>
  <si>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</si>
  <si>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</si>
  <si>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</si>
  <si>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</si>
  <si>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</si>
  <si>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</si>
  <si>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</si>
  <si>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</si>
  <si>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</si>
  <si>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</si>
  <si>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</si>
  <si>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</si>
  <si>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</si>
  <si>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</si>
  <si>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</si>
  <si>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</si>
  <si>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</si>
  <si>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</si>
  <si>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</si>
  <si>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</si>
  <si>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</si>
  <si>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</si>
  <si>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</si>
  <si>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</si>
  <si>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</si>
  <si>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</si>
  <si>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</si>
  <si>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</si>
  <si>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</si>
  <si>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</si>
  <si>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</si>
  <si>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</si>
  <si>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</si>
  <si>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</si>
  <si>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</si>
  <si>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</si>
  <si>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</si>
  <si>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</si>
  <si>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</si>
  <si>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</si>
  <si>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</si>
  <si>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</si>
  <si>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</si>
  <si>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</si>
  <si>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</si>
  <si>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</si>
  <si>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</si>
  <si>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</si>
  <si>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</si>
  <si>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</si>
  <si>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</si>
  <si>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</si>
  <si>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</si>
  <si>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</si>
  <si>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</si>
  <si>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</si>
  <si>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</si>
  <si>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</si>
  <si>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</si>
  <si>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</si>
  <si>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</si>
  <si>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</si>
  <si>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</si>
  <si>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</si>
  <si>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</si>
  <si>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</si>
  <si>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</si>
  <si>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</si>
  <si>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</si>
  <si>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</si>
  <si>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</si>
  <si>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</si>
  <si>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</si>
  <si>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</si>
  <si>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</si>
  <si>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</si>
  <si>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</si>
  <si>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</si>
  <si>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</si>
  <si>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</si>
  <si>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</si>
  <si>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</si>
  <si>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</si>
  <si>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</si>
  <si>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</si>
  <si>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</si>
  <si>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</si>
  <si>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</si>
  <si>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</si>
  <si>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</si>
  <si>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</si>
  <si>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</si>
  <si>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</si>
  <si>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</si>
  <si>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</si>
  <si>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</si>
  <si>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</si>
  <si>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</si>
  <si>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</si>
  <si>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</si>
  <si>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</si>
  <si>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</si>
  <si>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</si>
  <si>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</si>
  <si>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</si>
  <si>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</si>
  <si>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</si>
  <si>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</si>
  <si>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</si>
  <si>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</si>
  <si>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</si>
  <si>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</si>
  <si>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</si>
  <si>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</si>
  <si>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</si>
  <si>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</si>
  <si>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</si>
  <si>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</si>
  <si>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</si>
  <si>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</si>
  <si>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</si>
  <si>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</si>
  <si>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</si>
  <si>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</si>
  <si>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</si>
  <si>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</si>
  <si>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</si>
  <si>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</si>
  <si>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</si>
  <si>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</si>
  <si>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</si>
  <si>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</si>
  <si>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</si>
  <si>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</si>
  <si>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</si>
  <si>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</si>
  <si>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</si>
  <si>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</si>
  <si>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</si>
  <si>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</si>
  <si>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</si>
  <si>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</si>
  <si>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</si>
  <si>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</si>
  <si>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</si>
  <si>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</si>
  <si>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</si>
  <si>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</si>
  <si>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</si>
  <si>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</si>
  <si>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</si>
  <si>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</si>
  <si>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</si>
  <si>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</si>
  <si>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</si>
  <si>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</si>
  <si>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</si>
  <si>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</si>
  <si>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</si>
  <si>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</si>
  <si>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</si>
  <si>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</si>
  <si>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</si>
  <si>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</si>
  <si>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</si>
  <si>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</si>
  <si>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</si>
  <si>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</si>
  <si>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</si>
  <si>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</si>
  <si>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</si>
  <si>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</si>
  <si>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</si>
  <si>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</si>
  <si>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</si>
  <si>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</si>
  <si>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</si>
  <si>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</si>
  <si>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</si>
  <si>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</si>
  <si>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</si>
  <si>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</si>
  <si>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</si>
  <si>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</si>
  <si>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</si>
  <si>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</si>
  <si>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</si>
  <si>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</si>
  <si>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</si>
  <si>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</si>
  <si>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</si>
  <si>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</si>
  <si>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</si>
  <si>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</si>
  <si>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</si>
  <si>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</si>
  <si>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</si>
  <si>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</si>
  <si>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</si>
  <si>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</si>
  <si>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</si>
  <si>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</si>
  <si>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</si>
  <si>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</si>
  <si>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</si>
  <si>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</si>
  <si>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</si>
  <si>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</si>
  <si>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</si>
  <si>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</si>
  <si>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</si>
  <si>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</si>
  <si>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</si>
  <si>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</si>
  <si>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</si>
  <si>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</si>
  <si>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</si>
  <si>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</si>
  <si>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</si>
  <si>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</si>
  <si>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</si>
  <si>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</si>
  <si>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</si>
  <si>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</si>
  <si>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</si>
  <si>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</si>
  <si>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</si>
  <si>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</si>
  <si>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</si>
  <si>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</si>
  <si>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</si>
  <si>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</si>
  <si>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</si>
  <si>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</si>
  <si>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</si>
  <si>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</si>
  <si>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</si>
  <si>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</si>
  <si>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</si>
  <si>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</si>
  <si>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</si>
  <si>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</si>
  <si>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</si>
  <si>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</si>
  <si>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</si>
  <si>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</si>
  <si>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</si>
  <si>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</si>
  <si>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</si>
  <si>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</si>
  <si>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</si>
  <si>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</si>
  <si>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</si>
  <si>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</si>
  <si>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</si>
  <si>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</si>
  <si>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</si>
  <si>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</si>
  <si>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</si>
  <si>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</si>
  <si>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</si>
  <si>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</si>
  <si>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</si>
  <si>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</si>
  <si>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</si>
  <si>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</si>
  <si>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</si>
  <si>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</si>
  <si>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</si>
  <si>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</si>
  <si>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</si>
  <si>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</si>
  <si>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</si>
  <si>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</si>
  <si>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</si>
  <si>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</si>
  <si>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</si>
  <si>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</si>
  <si>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</si>
  <si>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</si>
  <si>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</si>
  <si>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</si>
  <si>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</si>
  <si>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</si>
  <si>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</si>
  <si>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</si>
  <si>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</si>
  <si>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</si>
  <si>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</si>
  <si>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</si>
  <si>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</si>
  <si>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</si>
  <si>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</si>
  <si>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</si>
  <si>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</si>
  <si>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</si>
  <si>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</si>
  <si>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</si>
  <si>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</si>
  <si>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</si>
  <si>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</si>
  <si>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</si>
  <si>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</si>
  <si>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</si>
  <si>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</si>
  <si>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</si>
  <si>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</si>
  <si>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</si>
  <si>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</si>
  <si>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</si>
  <si>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</si>
  <si>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</si>
  <si>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</si>
  <si>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</si>
  <si>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</si>
  <si>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</si>
  <si>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</si>
  <si>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</si>
  <si>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</si>
  <si>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</si>
  <si>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</si>
  <si>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</si>
  <si>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</si>
  <si>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</si>
  <si>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</si>
  <si>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</si>
  <si>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</si>
  <si>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</si>
  <si>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</si>
  <si>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</si>
  <si>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</si>
  <si>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</si>
  <si>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</si>
  <si>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</si>
  <si>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</si>
  <si>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</si>
  <si>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</si>
  <si>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</si>
  <si>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</si>
  <si>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</si>
  <si>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</si>
  <si>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</si>
  <si>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</si>
  <si>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</si>
  <si>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</si>
  <si>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</si>
  <si>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</si>
  <si>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</si>
  <si>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</si>
  <si>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</si>
  <si>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</si>
  <si>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</si>
  <si>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</si>
  <si>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</si>
  <si>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</si>
  <si>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</si>
  <si>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</si>
  <si>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</si>
  <si>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</si>
  <si>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</si>
  <si>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</si>
  <si>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</si>
  <si>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</si>
  <si>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</si>
  <si>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</si>
  <si>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</si>
  <si>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</si>
  <si>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</si>
  <si>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</si>
  <si>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</si>
  <si>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</si>
  <si>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</si>
  <si>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</si>
  <si>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</si>
  <si>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</si>
  <si>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</si>
  <si>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</si>
  <si>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</si>
  <si>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</si>
  <si>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</si>
  <si>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</si>
  <si>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</si>
  <si>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</si>
  <si>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</si>
  <si>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</si>
  <si>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</si>
  <si>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</si>
  <si>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</si>
  <si>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</si>
  <si>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</si>
  <si>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</si>
  <si>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</si>
  <si>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</si>
  <si>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</si>
  <si>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</si>
  <si>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</si>
  <si>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</si>
  <si>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</si>
  <si>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</si>
  <si>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</si>
  <si>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</si>
  <si>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</si>
  <si>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</si>
  <si>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</si>
  <si>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</si>
  <si>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</si>
  <si>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</si>
  <si>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</si>
  <si>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</si>
  <si>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</si>
  <si>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</si>
  <si>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</si>
  <si>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</si>
  <si>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</si>
  <si>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</si>
  <si>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</si>
  <si>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</si>
  <si>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</si>
  <si>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</si>
  <si>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</si>
  <si>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</si>
  <si>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</si>
  <si>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</si>
  <si>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</si>
  <si>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</si>
  <si>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</si>
  <si>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</si>
  <si>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</si>
  <si>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</si>
  <si>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</si>
  <si>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</si>
  <si>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</si>
  <si>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</si>
  <si>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</si>
  <si>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</si>
  <si>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</si>
  <si>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</si>
  <si>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</si>
  <si>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</si>
  <si>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</si>
  <si>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</si>
  <si>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</si>
  <si>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</si>
  <si>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</si>
  <si>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</si>
  <si>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</si>
  <si>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</si>
  <si>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</si>
  <si>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</si>
  <si>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</si>
  <si>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</si>
  <si>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</si>
  <si>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</si>
  <si>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</si>
  <si>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</si>
  <si>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</si>
  <si>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</si>
  <si>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</si>
  <si>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</si>
  <si>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</si>
  <si>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</si>
  <si>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</si>
  <si>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</si>
  <si>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</si>
  <si>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</si>
  <si>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</si>
  <si>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</si>
  <si>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</si>
  <si>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</si>
  <si>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</si>
  <si>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</si>
  <si>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</si>
  <si>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</si>
  <si>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</si>
  <si>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</si>
  <si>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</si>
  <si>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</si>
  <si>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</si>
  <si>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</si>
  <si>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</si>
  <si>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</si>
  <si>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</si>
  <si>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</si>
  <si>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</si>
  <si>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</si>
  <si>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</si>
  <si>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</si>
  <si>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</si>
  <si>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</si>
  <si>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</si>
  <si>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</si>
  <si>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</si>
  <si>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</si>
  <si>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</si>
  <si>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</si>
  <si>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</si>
  <si>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</si>
  <si>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</si>
  <si>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</si>
  <si>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</si>
  <si>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</si>
  <si>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</si>
  <si>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</si>
  <si>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</si>
  <si>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</si>
  <si>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</si>
  <si>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</si>
  <si>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</si>
  <si>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</si>
  <si>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</si>
  <si>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</si>
  <si>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</si>
  <si>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</si>
  <si>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</si>
  <si>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</si>
  <si>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</si>
  <si>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</si>
  <si>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</si>
  <si>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</si>
  <si>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</si>
  <si>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</si>
  <si>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</si>
  <si>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</si>
  <si>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</si>
  <si>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</si>
  <si>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</si>
  <si>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</si>
  <si>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</si>
  <si>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</si>
  <si>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</si>
  <si>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</si>
  <si>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</si>
  <si>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</si>
  <si>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</si>
  <si>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</si>
  <si>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</si>
  <si>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</si>
  <si>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</si>
  <si>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</si>
  <si>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</si>
  <si>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</si>
  <si>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</si>
  <si>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</si>
  <si>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</si>
  <si>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</si>
  <si>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</si>
  <si>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</si>
  <si>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</si>
  <si>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</si>
  <si>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</si>
  <si>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</si>
  <si>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</si>
  <si>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</si>
  <si>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</si>
  <si>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</si>
  <si>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</si>
  <si>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</si>
  <si>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</si>
  <si>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</si>
  <si>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</si>
  <si>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</si>
  <si>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</si>
  <si>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</si>
  <si>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</si>
  <si>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</si>
  <si>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</si>
  <si>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</si>
  <si>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</si>
  <si>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</si>
  <si>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</si>
  <si>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</si>
  <si>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</si>
  <si>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</si>
  <si>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</si>
  <si>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</si>
  <si>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</si>
  <si>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</si>
  <si>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</si>
  <si>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</si>
  <si>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</si>
  <si>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</si>
  <si>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</si>
  <si>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</si>
  <si>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</si>
  <si>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</si>
  <si>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</si>
  <si>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</si>
  <si>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</si>
  <si>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</si>
  <si>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</si>
  <si>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</si>
  <si>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</si>
  <si>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</si>
  <si>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</si>
  <si>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</si>
  <si>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</si>
  <si>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</si>
  <si>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</si>
  <si>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</si>
  <si>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</si>
  <si>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</si>
  <si>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</si>
  <si>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</si>
  <si>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</si>
  <si>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</si>
  <si>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</si>
  <si>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</si>
  <si>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</si>
  <si>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</si>
  <si>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</si>
  <si>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</si>
  <si>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</si>
  <si>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</si>
  <si>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</si>
  <si>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</si>
  <si>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</si>
  <si>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</si>
  <si>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</si>
  <si>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</si>
  <si>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</si>
  <si>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</si>
  <si>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</si>
  <si>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</si>
  <si>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</si>
  <si>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</si>
  <si>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</si>
  <si>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</si>
  <si>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</si>
  <si>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</si>
  <si>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</si>
  <si>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</si>
  <si>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</si>
  <si>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</si>
  <si>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</si>
  <si>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</si>
  <si>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</si>
  <si>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</si>
  <si>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</si>
  <si>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</si>
  <si>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</si>
  <si>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</si>
  <si>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</si>
  <si>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</si>
  <si>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</si>
  <si>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</si>
  <si>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</si>
  <si>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</si>
  <si>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</si>
  <si>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</si>
  <si>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</si>
  <si>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</si>
  <si>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</si>
  <si>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</si>
  <si>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</si>
  <si>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</si>
  <si>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</si>
  <si>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</si>
  <si>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</si>
  <si>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</si>
  <si>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</si>
  <si>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</si>
  <si>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</si>
  <si>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</si>
  <si>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</si>
  <si>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</si>
  <si>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</si>
  <si>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</si>
  <si>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</si>
  <si>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</si>
  <si>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</si>
  <si>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</si>
  <si>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</si>
  <si>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</si>
  <si>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</si>
  <si>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</si>
  <si>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</si>
  <si>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</si>
  <si>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</si>
  <si>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</si>
  <si>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</si>
  <si>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</si>
  <si>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</si>
  <si>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</si>
  <si>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</si>
  <si>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</si>
  <si>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</si>
  <si>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</si>
  <si>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</si>
  <si>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</si>
  <si>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</si>
  <si>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</si>
  <si>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</si>
  <si>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</si>
  <si>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</si>
  <si>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</si>
  <si>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</si>
  <si>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</si>
  <si>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</si>
  <si>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</si>
  <si>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</si>
  <si>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</si>
  <si>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</si>
  <si>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</si>
  <si>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</si>
  <si>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</si>
  <si>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</si>
  <si>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</si>
  <si>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</si>
  <si>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</si>
  <si>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</si>
  <si>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</si>
  <si>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</si>
  <si>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</si>
  <si>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</si>
  <si>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</si>
  <si>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</si>
  <si>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</si>
  <si>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</si>
  <si>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</si>
  <si>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</si>
  <si>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</si>
  <si>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</si>
  <si>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</si>
  <si>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</si>
  <si>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</si>
  <si>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</si>
  <si>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</si>
  <si>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</si>
  <si>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</si>
  <si>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</si>
  <si>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</si>
  <si>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</si>
  <si>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</si>
  <si>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</si>
  <si>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</si>
  <si>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</si>
  <si>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</si>
  <si>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</si>
  <si>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</si>
  <si>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</si>
  <si>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</si>
  <si>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</si>
  <si>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</si>
  <si>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</si>
  <si>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</si>
  <si>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</si>
  <si>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</si>
  <si>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</si>
  <si>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</si>
  <si>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</si>
  <si>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</si>
  <si>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</si>
  <si>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</si>
  <si>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</si>
  <si>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</si>
  <si>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</si>
  <si>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</si>
  <si>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</si>
  <si>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</si>
  <si>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</si>
  <si>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</si>
  <si>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</si>
  <si>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</si>
  <si>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</si>
  <si>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</si>
  <si>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</si>
  <si>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</si>
  <si>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</si>
  <si>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</si>
  <si>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</si>
  <si>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</si>
  <si>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</si>
  <si>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</si>
  <si>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</si>
  <si>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</si>
  <si>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</si>
  <si>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</si>
  <si>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</si>
  <si>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</si>
  <si>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</si>
  <si>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</si>
  <si>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</si>
  <si>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</si>
  <si>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</si>
  <si>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</si>
  <si>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</si>
  <si>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</si>
  <si>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</si>
  <si>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</si>
  <si>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</si>
  <si>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</si>
  <si>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</si>
  <si>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</si>
  <si>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</si>
  <si>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</si>
  <si>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</si>
  <si>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</si>
  <si>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</si>
  <si>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</si>
  <si>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</si>
  <si>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</si>
  <si>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</si>
  <si>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</si>
  <si>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</si>
  <si>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</si>
  <si>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</si>
  <si>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</si>
  <si>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</si>
  <si>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</si>
  <si>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</si>
  <si>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</si>
  <si>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</si>
  <si>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</si>
  <si>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</si>
  <si>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</si>
  <si>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</si>
  <si>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</si>
  <si>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</si>
  <si>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</si>
  <si>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</si>
  <si>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</si>
  <si>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</si>
  <si>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</si>
  <si>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</si>
  <si>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</si>
  <si>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</si>
  <si>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</si>
  <si>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</si>
  <si>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</si>
  <si>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</si>
  <si>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</si>
  <si>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</si>
  <si>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</si>
  <si>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</si>
  <si>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</si>
  <si>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</si>
  <si>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</si>
  <si>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</si>
  <si>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</si>
  <si>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</si>
  <si>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</si>
  <si>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</si>
  <si>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</si>
  <si>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</si>
  <si>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</si>
  <si>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</si>
  <si>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</si>
  <si>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</si>
  <si>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</si>
  <si>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</si>
  <si>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</si>
  <si>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</si>
  <si>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</si>
  <si>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</si>
  <si>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</si>
  <si>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</si>
  <si>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</si>
  <si>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</si>
  <si>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</si>
  <si>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</si>
  <si>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</si>
  <si>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</si>
  <si>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</si>
  <si>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</si>
  <si>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</si>
  <si>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</si>
  <si>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</si>
  <si>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</si>
  <si>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</si>
  <si>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</si>
  <si>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</si>
  <si>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</si>
  <si>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</si>
  <si>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</si>
  <si>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</si>
  <si>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</si>
  <si>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</si>
  <si>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</si>
  <si>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</si>
  <si>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</si>
  <si>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</si>
  <si>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</si>
  <si>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</si>
  <si>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</si>
  <si>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</si>
  <si>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</si>
  <si>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</si>
  <si>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</si>
  <si>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</si>
  <si>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</si>
  <si>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</si>
  <si>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</si>
  <si>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</si>
  <si>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</si>
  <si>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</si>
  <si>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</si>
  <si>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</si>
  <si>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</si>
  <si>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</si>
  <si>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</si>
  <si>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</si>
  <si>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</si>
  <si>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</si>
  <si>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</si>
  <si>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</si>
  <si>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</si>
  <si>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</si>
  <si>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</si>
  <si>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</si>
  <si>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</si>
  <si>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</si>
  <si>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</si>
  <si>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</si>
  <si>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</si>
  <si>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</si>
  <si>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</si>
  <si>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</si>
  <si>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</si>
  <si>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</si>
  <si>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</si>
  <si>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</si>
  <si>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</si>
  <si>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</si>
  <si>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</si>
  <si>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</si>
  <si>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</si>
  <si>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</si>
  <si>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</si>
  <si>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</si>
  <si>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</si>
  <si>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</si>
  <si>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</si>
  <si>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</si>
  <si>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</si>
  <si>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</si>
  <si>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</si>
  <si>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</si>
  <si>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</si>
  <si>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</si>
  <si>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</si>
  <si>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</si>
  <si>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</si>
  <si>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</si>
  <si>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</si>
  <si>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</si>
  <si>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</si>
  <si>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</si>
  <si>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</si>
  <si>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</si>
  <si>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</si>
  <si>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</si>
  <si>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</si>
  <si>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</si>
  <si>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</si>
  <si>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</si>
  <si>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</si>
  <si>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</si>
  <si>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</si>
  <si>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</si>
  <si>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</si>
  <si>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</si>
  <si>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</si>
  <si>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</si>
  <si>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</si>
  <si>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</si>
  <si>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</si>
  <si>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</si>
  <si>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</si>
  <si>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</si>
  <si>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</si>
  <si>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</si>
  <si>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</si>
  <si>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</si>
  <si>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</si>
  <si>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</si>
  <si>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</si>
  <si>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</si>
  <si>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</si>
  <si>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</si>
  <si>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</si>
  <si>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</si>
  <si>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</si>
  <si>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</si>
  <si>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</si>
  <si>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</si>
  <si>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</si>
  <si>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</si>
  <si>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</si>
  <si>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</si>
  <si>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</si>
  <si>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</si>
  <si>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</si>
  <si>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</si>
  <si>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</si>
  <si>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</si>
  <si>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</si>
  <si>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</si>
  <si>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</si>
  <si>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</si>
  <si>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</si>
  <si>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</si>
  <si>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</si>
  <si>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</si>
  <si>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</si>
  <si>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</si>
  <si>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</si>
  <si>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</si>
  <si>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</si>
  <si>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</si>
  <si>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</si>
  <si>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</si>
  <si>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</si>
  <si>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</si>
  <si>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</si>
  <si>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</si>
  <si>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</si>
  <si>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</si>
  <si>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</si>
  <si>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</si>
  <si>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</si>
  <si>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</si>
  <si>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</si>
  <si>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</si>
  <si>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</si>
  <si>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</si>
  <si>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</si>
  <si>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</si>
  <si>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</si>
  <si>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</si>
  <si>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</si>
  <si>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</si>
  <si>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</si>
  <si>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</si>
  <si>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</si>
  <si>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</si>
  <si>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</si>
  <si>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</si>
  <si>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</si>
  <si>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</si>
  <si>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</si>
  <si>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</si>
  <si>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</si>
  <si>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</si>
  <si>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</si>
  <si>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</si>
  <si>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</si>
  <si>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</si>
  <si>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</si>
  <si>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</si>
  <si>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</si>
  <si>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</si>
  <si>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</si>
  <si>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</si>
  <si>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</si>
  <si>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</si>
  <si>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</si>
  <si>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</si>
  <si>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</si>
  <si>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</si>
  <si>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</si>
  <si>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</si>
  <si>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</si>
  <si>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</si>
  <si>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</si>
  <si>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</si>
  <si>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</si>
  <si>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</si>
  <si>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</si>
  <si>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</si>
  <si>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</si>
  <si>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</si>
  <si>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</si>
  <si>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</si>
  <si>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</si>
  <si>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</si>
  <si>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</si>
  <si>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</si>
  <si>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</si>
  <si>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</si>
  <si>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</si>
  <si>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</si>
  <si>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</si>
  <si>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</si>
  <si>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</si>
  <si>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</si>
  <si>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</si>
  <si>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</si>
  <si>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</si>
  <si>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</si>
  <si>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</si>
  <si>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</si>
  <si>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</si>
  <si>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</si>
  <si>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</si>
  <si>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</si>
  <si>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</si>
  <si>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</si>
  <si>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</si>
  <si>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</si>
  <si>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</si>
  <si>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</si>
  <si>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</si>
  <si>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</si>
  <si>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</si>
  <si>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</si>
  <si>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</si>
  <si>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</si>
  <si>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</si>
  <si>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</si>
  <si>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</si>
  <si>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</si>
  <si>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</si>
  <si>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</si>
  <si>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</si>
  <si>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</si>
  <si>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</si>
  <si>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</si>
  <si>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</si>
  <si>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</si>
  <si>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</si>
  <si>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</si>
  <si>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</si>
  <si>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</si>
  <si>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</si>
  <si>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</si>
  <si>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</si>
  <si>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</si>
  <si>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</si>
  <si>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</si>
  <si>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</si>
  <si>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</si>
  <si>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</si>
  <si>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</si>
  <si>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</si>
  <si>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</si>
  <si>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</si>
  <si>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</si>
  <si>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</si>
  <si>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</si>
  <si>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</si>
  <si>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</si>
  <si>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</si>
  <si>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</si>
  <si>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</si>
  <si>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</si>
  <si>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</si>
  <si>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</si>
  <si>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</si>
  <si>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</si>
  <si>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</si>
  <si>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</si>
  <si>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</si>
  <si>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</si>
  <si>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</si>
  <si>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</si>
  <si>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</si>
  <si>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</si>
  <si>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</si>
  <si>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</si>
  <si>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</si>
  <si>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</si>
  <si>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</si>
  <si>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</si>
  <si>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</si>
  <si>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</si>
  <si>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</si>
  <si>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</si>
  <si>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</si>
  <si>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</si>
  <si>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</si>
  <si>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</si>
  <si>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</si>
  <si>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</si>
  <si>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</si>
  <si>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</si>
  <si>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</si>
  <si>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</si>
  <si>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</si>
  <si>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</si>
  <si>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</si>
  <si>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</si>
  <si>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</si>
  <si>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</si>
  <si>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</si>
  <si>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</si>
  <si>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</si>
  <si>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</si>
  <si>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</si>
  <si>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</si>
  <si>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</si>
  <si>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</si>
  <si>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</si>
  <si>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</si>
  <si>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</si>
  <si>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</si>
  <si>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</si>
  <si>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</si>
  <si>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</si>
  <si>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</si>
  <si>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</si>
  <si>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</si>
  <si>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</si>
  <si>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</si>
  <si>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</si>
  <si>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</si>
  <si>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</si>
  <si>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</si>
  <si>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</si>
  <si>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</si>
  <si>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</si>
  <si>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</si>
  <si>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</si>
  <si>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</si>
  <si>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</si>
  <si>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</si>
  <si>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</si>
  <si>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</si>
  <si>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</si>
  <si>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</si>
  <si>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</si>
  <si>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</si>
  <si>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</si>
  <si>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</si>
  <si>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</si>
  <si>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</si>
  <si>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</si>
  <si>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</si>
  <si>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</si>
  <si>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</si>
  <si>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</si>
  <si>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</si>
  <si>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</si>
  <si>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</si>
  <si>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</si>
  <si>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</si>
  <si>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</si>
  <si>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</si>
  <si>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</si>
  <si>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</si>
  <si>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</si>
  <si>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</si>
  <si>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</si>
  <si>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</si>
  <si>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</si>
  <si>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</si>
  <si>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</si>
  <si>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</si>
  <si>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</si>
  <si>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</si>
  <si>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</si>
  <si>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</si>
  <si>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</si>
  <si>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</si>
  <si>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</si>
  <si>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</si>
  <si>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</si>
  <si>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</si>
  <si>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</si>
  <si>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</si>
  <si>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</si>
  <si>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</si>
  <si>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</si>
  <si>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</si>
  <si>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</si>
  <si>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</si>
  <si>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</si>
  <si>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</si>
  <si>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</si>
  <si>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</si>
  <si>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</si>
  <si>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</si>
  <si>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</si>
  <si>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</si>
  <si>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</si>
  <si>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</si>
  <si>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</si>
  <si>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</si>
  <si>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</si>
  <si>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</si>
  <si>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</si>
  <si>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</si>
  <si>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</si>
  <si>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</si>
  <si>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</si>
  <si>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</si>
  <si>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</si>
  <si>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</si>
  <si>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</si>
  <si>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</si>
  <si>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</si>
  <si>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</si>
  <si>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</si>
  <si>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</si>
  <si>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</si>
  <si>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</si>
  <si>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</si>
  <si>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</si>
  <si>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</si>
  <si>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</si>
  <si>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</si>
  <si>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</si>
  <si>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</si>
  <si>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</si>
  <si>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</si>
  <si>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</si>
  <si>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</si>
  <si>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</si>
  <si>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</si>
  <si>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</si>
  <si>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</si>
  <si>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</si>
  <si>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</si>
  <si>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</si>
  <si>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</si>
  <si>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</si>
  <si>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</si>
  <si>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</si>
  <si>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</si>
  <si>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</si>
  <si>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</si>
  <si>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</si>
  <si>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</si>
  <si>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</si>
  <si>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</si>
  <si>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</si>
  <si>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</si>
  <si>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</si>
  <si>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</si>
  <si>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</si>
  <si>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</si>
  <si>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</si>
  <si>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</si>
  <si>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</si>
  <si>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</si>
  <si>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</si>
  <si>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</si>
  <si>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</si>
  <si>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</si>
  <si>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</si>
  <si>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</si>
  <si>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</si>
  <si>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</si>
  <si>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</si>
  <si>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</si>
  <si>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</si>
  <si>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</si>
  <si>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</si>
  <si>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</si>
  <si>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</si>
  <si>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</si>
  <si>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</si>
  <si>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</si>
  <si>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</si>
  <si>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</si>
  <si>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</si>
  <si>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</si>
  <si>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</si>
  <si>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</si>
  <si>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</si>
  <si>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</si>
  <si>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</si>
  <si>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</si>
  <si>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</si>
  <si>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</si>
  <si>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</si>
  <si>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</si>
  <si>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</si>
  <si>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</si>
  <si>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</si>
  <si>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</si>
  <si>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</si>
  <si>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</si>
  <si>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</si>
  <si>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</si>
  <si>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</si>
  <si>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</si>
  <si>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</si>
  <si>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</si>
  <si>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</si>
  <si>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</si>
  <si>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</si>
  <si>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</si>
  <si>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</si>
  <si>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</si>
  <si>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</si>
  <si>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</si>
  <si>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</si>
  <si>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</si>
  <si>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</si>
  <si>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</si>
  <si>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</si>
  <si>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</si>
  <si>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</si>
  <si>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</si>
  <si>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</si>
  <si>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</si>
  <si>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</si>
  <si>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</si>
  <si>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</si>
  <si>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</si>
  <si>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</si>
  <si>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</si>
  <si>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</si>
  <si>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</si>
  <si>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</si>
  <si>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</si>
  <si>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</si>
  <si>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</si>
  <si>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</si>
  <si>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</si>
  <si>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</si>
  <si>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</si>
  <si>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</si>
  <si>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</si>
  <si>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</si>
  <si>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</si>
  <si>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</si>
  <si>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</si>
  <si>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</si>
  <si>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</si>
  <si>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</si>
  <si>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</si>
  <si>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</si>
  <si>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</si>
  <si>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</si>
  <si>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</si>
  <si>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</si>
  <si>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</si>
  <si>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</si>
  <si>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</si>
  <si>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</si>
  <si>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</si>
  <si>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</si>
  <si>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</si>
  <si>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</si>
  <si>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</si>
  <si>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</si>
  <si>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</si>
  <si>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</si>
  <si>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</si>
  <si>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</si>
  <si>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</si>
  <si>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</si>
  <si>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</si>
  <si>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</si>
  <si>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</si>
  <si>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</si>
  <si>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</si>
  <si>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</si>
  <si>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</si>
  <si>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</si>
  <si>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</si>
  <si>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</si>
  <si>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</si>
  <si>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</si>
  <si>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</si>
  <si>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</si>
  <si>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</si>
  <si>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</si>
  <si>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</si>
  <si>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</si>
  <si>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</si>
  <si>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</si>
  <si>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</si>
  <si>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</si>
  <si>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</si>
  <si>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</si>
  <si>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</si>
  <si>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</si>
  <si>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</si>
  <si>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</si>
  <si>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</si>
  <si>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</si>
  <si>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</si>
  <si>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</si>
  <si>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</si>
  <si>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</si>
  <si>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</si>
  <si>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</si>
  <si>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</si>
  <si>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</si>
  <si>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</si>
  <si>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</si>
  <si>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</si>
  <si>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</si>
  <si>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</si>
  <si>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</si>
  <si>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</si>
  <si>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</si>
  <si>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</si>
  <si>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</si>
  <si>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</si>
  <si>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</si>
  <si>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</si>
  <si>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</si>
  <si>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</si>
  <si>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</si>
  <si>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</si>
  <si>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</si>
  <si>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</si>
  <si>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</si>
  <si>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</si>
  <si>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</si>
  <si>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</si>
  <si>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</si>
  <si>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</si>
  <si>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</si>
  <si>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</si>
  <si>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</si>
  <si>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</si>
  <si>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</si>
  <si>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</si>
  <si>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</si>
  <si>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</si>
  <si>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</si>
  <si>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</si>
  <si>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</si>
  <si>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</si>
  <si>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</si>
  <si>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</si>
  <si>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</si>
  <si>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</si>
  <si>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</si>
  <si>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</si>
  <si>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</si>
  <si>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</si>
  <si>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</si>
  <si>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</si>
  <si>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</si>
  <si>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</si>
  <si>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</si>
  <si>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</si>
  <si>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</si>
  <si>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</si>
  <si>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</si>
  <si>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</si>
  <si>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</si>
  <si>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</si>
  <si>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</si>
  <si>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</si>
  <si>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</si>
  <si>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</si>
  <si>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</si>
  <si>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</si>
  <si>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</si>
  <si>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</si>
  <si>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</si>
  <si>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</si>
  <si>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</si>
  <si>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</si>
  <si>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</si>
  <si>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</si>
  <si>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</si>
  <si>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</si>
  <si>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</si>
  <si>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</si>
  <si>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</si>
  <si>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</si>
  <si>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</si>
  <si>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</si>
  <si>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</si>
  <si>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</si>
  <si>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</si>
  <si>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</si>
  <si>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</si>
  <si>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</si>
  <si>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</si>
  <si>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</si>
  <si>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</si>
  <si>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</si>
  <si>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</si>
  <si>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</si>
  <si>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</si>
  <si>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</si>
  <si>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</si>
  <si>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</si>
  <si>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</si>
  <si>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</si>
  <si>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</si>
  <si>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</si>
  <si>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</si>
  <si>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</si>
  <si>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</si>
  <si>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</si>
  <si>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</si>
  <si>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</si>
  <si>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</si>
  <si>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</si>
  <si>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</si>
  <si>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</si>
  <si>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</si>
  <si>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</si>
  <si>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</si>
  <si>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</si>
  <si>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</si>
  <si>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</si>
  <si>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</si>
  <si>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</si>
  <si>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</si>
  <si>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</si>
  <si>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</si>
  <si>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</si>
  <si>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</si>
  <si>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</si>
  <si>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</si>
  <si>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</si>
  <si>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</si>
  <si>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</si>
  <si>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</si>
  <si>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</si>
  <si>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</si>
  <si>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</si>
  <si>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</si>
  <si>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</si>
  <si>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</si>
  <si>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</si>
  <si>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</si>
  <si>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</si>
  <si>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</si>
  <si>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</si>
  <si>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</si>
  <si>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</si>
  <si>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</si>
  <si>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</si>
  <si>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</si>
  <si>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</si>
  <si>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</si>
  <si>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</si>
  <si>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</si>
  <si>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</si>
  <si>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</si>
  <si>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</si>
  <si>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</si>
  <si>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</si>
  <si>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</si>
  <si>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</si>
  <si>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</si>
  <si>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</si>
  <si>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</si>
  <si>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</si>
  <si>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</si>
  <si>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</si>
  <si>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</si>
  <si>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</si>
  <si>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</si>
  <si>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</si>
  <si>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</si>
  <si>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</si>
  <si>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</si>
  <si>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</si>
  <si>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</si>
  <si>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</si>
  <si>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</si>
  <si>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</si>
  <si>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</si>
  <si>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</si>
  <si>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</si>
  <si>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</si>
  <si>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</si>
  <si>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</si>
  <si>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</si>
  <si>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</si>
  <si>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</si>
  <si>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</si>
  <si>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</si>
  <si>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</si>
  <si>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</si>
  <si>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</si>
  <si>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</si>
  <si>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</si>
  <si>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</si>
  <si>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</si>
  <si>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</si>
  <si>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</si>
  <si>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</si>
  <si>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</si>
  <si>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</si>
  <si>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</si>
  <si>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</si>
  <si>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</si>
  <si>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</si>
  <si>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</si>
  <si>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</si>
  <si>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</si>
  <si>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</si>
  <si>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</si>
  <si>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</si>
  <si>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</si>
  <si>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</si>
  <si>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</si>
  <si>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</si>
  <si>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</si>
  <si>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</si>
  <si>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</si>
  <si>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</si>
  <si>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</si>
  <si>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</si>
  <si>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</si>
  <si>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</si>
  <si>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</si>
  <si>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</si>
  <si>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</si>
  <si>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</si>
  <si>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</si>
  <si>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</si>
  <si>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</si>
  <si>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</si>
  <si>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</si>
  <si>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</si>
  <si>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</si>
  <si>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</si>
  <si>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</si>
  <si>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</si>
  <si>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</si>
  <si>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</si>
  <si>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</si>
  <si>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</si>
  <si>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</si>
  <si>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</si>
  <si>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</si>
  <si>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</si>
  <si>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</si>
  <si>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</si>
  <si>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</si>
  <si>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</si>
  <si>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</si>
  <si>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</si>
  <si>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</si>
  <si>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</si>
  <si>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</si>
  <si>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</si>
  <si>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</si>
  <si>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</si>
  <si>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</si>
  <si>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</si>
  <si>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</si>
  <si>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</si>
  <si>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</si>
  <si>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</si>
  <si>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</si>
  <si>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</si>
  <si>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</si>
  <si>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</si>
  <si>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</si>
  <si>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</si>
  <si>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</si>
  <si>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</si>
  <si>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</si>
  <si>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</si>
  <si>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</si>
  <si>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</si>
  <si>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</si>
  <si>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</si>
  <si>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</si>
  <si>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</si>
  <si>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</si>
  <si>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</si>
  <si>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</si>
  <si>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</si>
  <si>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</si>
  <si>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</si>
  <si>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</si>
  <si>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</si>
  <si>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</si>
  <si>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</si>
  <si>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</si>
  <si>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</si>
  <si>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</si>
  <si>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</si>
  <si>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</si>
  <si>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</si>
  <si>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</si>
  <si>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</si>
  <si>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</si>
  <si>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</si>
  <si>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</si>
  <si>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</si>
  <si>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</si>
  <si>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</si>
  <si>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</si>
  <si>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</si>
  <si>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</si>
  <si>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</si>
  <si>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</si>
  <si>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</si>
  <si>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</si>
  <si>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</si>
  <si>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</si>
  <si>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</si>
  <si>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</si>
  <si>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</si>
  <si>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</si>
  <si>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</si>
  <si>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</si>
  <si>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</si>
  <si>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</si>
  <si>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</si>
  <si>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</si>
  <si>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</si>
  <si>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</si>
  <si>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</si>
  <si>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</si>
  <si>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</si>
  <si>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</si>
  <si>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</si>
  <si>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</si>
  <si>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</si>
  <si>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</si>
  <si>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</si>
  <si>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</si>
  <si>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</si>
  <si>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</si>
  <si>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</si>
  <si>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</si>
  <si>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</si>
  <si>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</si>
  <si>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</si>
  <si>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</si>
  <si>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</si>
  <si>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</si>
  <si>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</si>
  <si>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</si>
  <si>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</si>
  <si>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</si>
  <si>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</si>
  <si>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</si>
  <si>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</si>
  <si>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</si>
  <si>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</si>
  <si>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</si>
  <si>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</si>
  <si>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</si>
  <si>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</si>
  <si>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</si>
  <si>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</si>
  <si>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</si>
  <si>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</si>
  <si>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</si>
  <si>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</si>
  <si>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</si>
  <si>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</si>
  <si>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</si>
  <si>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</si>
  <si>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</si>
  <si>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</si>
  <si>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</si>
  <si>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</si>
  <si>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</si>
  <si>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</si>
  <si>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</si>
  <si>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</si>
  <si>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</si>
  <si>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</si>
  <si>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</si>
  <si>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</si>
  <si>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</si>
  <si>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</si>
  <si>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</si>
  <si>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</si>
  <si>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</si>
  <si>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</si>
  <si>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</si>
  <si>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</si>
  <si>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</si>
  <si>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</si>
  <si>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</si>
  <si>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</si>
  <si>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</si>
  <si>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</si>
  <si>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</si>
  <si>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</si>
  <si>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</si>
  <si>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</si>
  <si>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</si>
  <si>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</si>
  <si>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</si>
  <si>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</si>
  <si>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</si>
  <si>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</si>
  <si>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</si>
  <si>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</si>
  <si>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</si>
  <si>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</si>
  <si>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</si>
  <si>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</si>
  <si>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</si>
  <si>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</si>
  <si>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</si>
  <si>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</si>
  <si>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</si>
  <si>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</si>
  <si>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</si>
  <si>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</si>
  <si>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</si>
  <si>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</si>
  <si>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</si>
  <si>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</si>
  <si>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</si>
  <si>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</si>
  <si>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</si>
  <si>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</si>
  <si>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</si>
  <si>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</si>
  <si>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</si>
  <si>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</si>
  <si>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</si>
  <si>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</si>
  <si>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</si>
  <si>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</si>
  <si>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</si>
  <si>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</si>
  <si>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</si>
  <si>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</si>
  <si>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</si>
  <si>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</si>
  <si>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</si>
  <si>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</si>
  <si>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</si>
  <si>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</si>
  <si>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</si>
  <si>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</si>
  <si>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</si>
  <si>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</si>
  <si>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</si>
  <si>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</si>
  <si>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</si>
  <si>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</si>
  <si>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</si>
  <si>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</si>
  <si>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</si>
  <si>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</si>
  <si>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</si>
  <si>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</si>
  <si>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</si>
  <si>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</si>
  <si>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</si>
  <si>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</si>
  <si>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</si>
  <si>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</si>
  <si>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</si>
  <si>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</si>
  <si>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</si>
  <si>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</si>
  <si>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</si>
  <si>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</si>
  <si>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</si>
  <si>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</si>
  <si>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</si>
  <si>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</si>
  <si>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</si>
  <si>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</si>
  <si>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</si>
  <si>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</si>
  <si>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</si>
  <si>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</si>
  <si>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</si>
  <si>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</si>
  <si>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</si>
  <si>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</si>
  <si>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</si>
  <si>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</si>
  <si>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</si>
  <si>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</si>
  <si>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</si>
  <si>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</si>
  <si>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</si>
  <si>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</si>
  <si>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</si>
  <si>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</si>
  <si>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</si>
  <si>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</si>
  <si>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</si>
  <si>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</si>
  <si>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</si>
  <si>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</si>
  <si>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</si>
  <si>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</si>
  <si>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</si>
  <si>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</si>
  <si>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</si>
  <si>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</si>
  <si>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</si>
  <si>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</si>
  <si>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</si>
  <si>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</si>
  <si>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</si>
  <si>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</si>
  <si>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</si>
  <si>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</si>
  <si>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</si>
  <si>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</si>
  <si>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</si>
  <si>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</si>
  <si>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</si>
  <si>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</si>
  <si>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</si>
  <si>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</si>
  <si>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</si>
  <si>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</si>
  <si>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</si>
  <si>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</si>
  <si>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</si>
  <si>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</si>
  <si>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</si>
  <si>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</si>
  <si>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</si>
  <si>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</si>
  <si>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</si>
  <si>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</si>
  <si>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</si>
  <si>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</si>
  <si>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</si>
  <si>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</si>
  <si>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</si>
  <si>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</si>
  <si>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</si>
  <si>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</si>
  <si>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</si>
  <si>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</si>
  <si>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</si>
  <si>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</si>
  <si>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</si>
  <si>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</si>
  <si>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</si>
  <si>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</si>
  <si>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</si>
  <si>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</si>
  <si>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</si>
  <si>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</si>
  <si>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</si>
  <si>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</si>
  <si>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</si>
  <si>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</si>
  <si>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</si>
  <si>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</si>
  <si>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</si>
  <si>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</si>
  <si>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</si>
  <si>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</si>
  <si>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</si>
  <si>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</si>
  <si>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</si>
  <si>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</si>
  <si>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</si>
  <si>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</si>
  <si>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</si>
  <si>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</si>
  <si>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</si>
  <si>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</si>
  <si>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</si>
  <si>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</si>
  <si>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</si>
  <si>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</si>
  <si>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</si>
  <si>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</si>
  <si>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</si>
  <si>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</si>
  <si>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</si>
  <si>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</si>
  <si>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</si>
  <si>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</si>
  <si>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</si>
  <si>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</si>
  <si>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</si>
  <si>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</si>
  <si>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</si>
  <si>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</si>
  <si>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</si>
  <si>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</si>
  <si>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</si>
  <si>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</si>
  <si>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</si>
  <si>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</si>
  <si>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</si>
  <si>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</si>
  <si>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</si>
  <si>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</si>
  <si>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</si>
  <si>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</si>
  <si>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</si>
  <si>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</si>
  <si>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</si>
  <si>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</si>
  <si>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</si>
  <si>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</si>
  <si>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</si>
  <si>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</si>
  <si>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</si>
  <si>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</si>
  <si>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</si>
  <si>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</si>
  <si>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</si>
  <si>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</si>
  <si>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</si>
  <si>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</si>
  <si>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</si>
  <si>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</si>
  <si>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</si>
  <si>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</si>
  <si>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</si>
  <si>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</si>
  <si>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</si>
  <si>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</si>
  <si>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</si>
  <si>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</si>
  <si>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</si>
  <si>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</si>
  <si>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</si>
  <si>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</si>
  <si>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</si>
  <si>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</si>
  <si>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</si>
  <si>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</si>
  <si>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</si>
  <si>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</si>
  <si>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</si>
  <si>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</si>
  <si>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</si>
  <si>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</si>
  <si>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</si>
  <si>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</si>
  <si>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</si>
  <si>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</si>
  <si>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</si>
  <si>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</si>
  <si>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</si>
  <si>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</si>
  <si>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</si>
  <si>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</si>
  <si>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</si>
  <si>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</si>
  <si>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</si>
  <si>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</si>
  <si>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</si>
  <si>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</si>
  <si>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</si>
  <si>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</si>
  <si>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</si>
  <si>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</si>
  <si>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</si>
  <si>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</si>
  <si>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</si>
  <si>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</si>
  <si>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</si>
  <si>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</si>
  <si>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</si>
  <si>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</si>
  <si>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</si>
  <si>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</si>
  <si>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</si>
  <si>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</si>
  <si>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</si>
  <si>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</si>
  <si>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</si>
  <si>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</si>
  <si>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</si>
  <si>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</si>
  <si>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</si>
  <si>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</si>
  <si>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</si>
  <si>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</si>
  <si>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</si>
  <si>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</si>
  <si>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</si>
  <si>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</si>
  <si>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</si>
  <si>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</si>
  <si>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</si>
  <si>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</si>
  <si>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</si>
  <si>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</si>
  <si>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</si>
  <si>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</si>
  <si>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</si>
  <si>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</si>
  <si>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</si>
  <si>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</si>
  <si>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</si>
  <si>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</si>
  <si>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</si>
  <si>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</si>
  <si>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</si>
  <si>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</si>
  <si>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</si>
  <si>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</si>
  <si>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</si>
  <si>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</si>
  <si>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</si>
  <si>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</si>
  <si>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</si>
  <si>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</si>
  <si>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</si>
  <si>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</si>
  <si>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</si>
  <si>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</si>
  <si>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</si>
  <si>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</si>
  <si>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</si>
  <si>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</si>
  <si>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</si>
  <si>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</si>
  <si>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</si>
  <si>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</si>
  <si>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</si>
  <si>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</si>
  <si>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</si>
  <si>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</si>
  <si>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</si>
  <si>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</si>
  <si>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</si>
  <si>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</si>
  <si>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</si>
  <si>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</si>
  <si>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</si>
  <si>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</si>
  <si>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</si>
  <si>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</si>
  <si>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</si>
  <si>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</si>
  <si>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</si>
  <si>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</si>
  <si>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</si>
  <si>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</si>
  <si>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</si>
  <si>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</si>
  <si>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</si>
  <si>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</si>
  <si>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</si>
  <si>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</si>
  <si>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</si>
  <si>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</si>
  <si>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</si>
  <si>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</si>
  <si>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</si>
  <si>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</si>
  <si>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</si>
  <si>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</si>
  <si>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</si>
  <si>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</si>
  <si>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</si>
  <si>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</si>
  <si>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</si>
  <si>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</si>
  <si>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</si>
  <si>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</si>
  <si>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</si>
  <si>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</si>
  <si>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</si>
  <si>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</si>
  <si>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</si>
  <si>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</si>
  <si>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</si>
  <si>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</si>
  <si>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</si>
  <si>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</si>
  <si>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</si>
  <si>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</si>
  <si>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</si>
  <si>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</si>
  <si>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</si>
  <si>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</si>
  <si>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</si>
  <si>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</si>
  <si>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</si>
  <si>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</si>
  <si>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</si>
  <si>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</si>
  <si>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</si>
  <si>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</si>
  <si>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</si>
  <si>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</si>
  <si>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</si>
  <si>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</si>
  <si>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</si>
  <si>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</si>
  <si>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</si>
  <si>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</si>
  <si>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</si>
  <si>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</si>
  <si>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</si>
  <si>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</si>
  <si>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</si>
  <si>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</si>
  <si>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</si>
  <si>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</si>
  <si>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</si>
  <si>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</si>
  <si>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</si>
  <si>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</si>
  <si>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</si>
  <si>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</si>
  <si>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</si>
  <si>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</si>
  <si>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</si>
  <si>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</si>
  <si>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</si>
  <si>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</si>
  <si>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</si>
  <si>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</si>
  <si>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</si>
  <si>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</si>
  <si>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</si>
  <si>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</si>
  <si>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</si>
  <si>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</si>
  <si>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</si>
  <si>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</si>
  <si>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</si>
  <si>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</si>
  <si>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</si>
  <si>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</si>
  <si>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</si>
  <si>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</si>
  <si>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</si>
  <si>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</si>
  <si>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</si>
  <si>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</si>
  <si>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</si>
  <si>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</si>
  <si>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</si>
  <si>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</si>
  <si>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</si>
  <si>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</si>
  <si>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</si>
  <si>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</si>
  <si>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</si>
  <si>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</si>
  <si>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</si>
  <si>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</si>
  <si>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</si>
  <si>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</si>
  <si>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</si>
  <si>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</si>
  <si>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</si>
  <si>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</si>
  <si>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</si>
  <si>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</si>
  <si>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</si>
  <si>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</si>
  <si>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</si>
  <si>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</si>
  <si>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</si>
  <si>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</si>
  <si>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</si>
  <si>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</si>
  <si>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</si>
  <si>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</si>
  <si>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</si>
  <si>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</si>
  <si>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</si>
  <si>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</si>
  <si>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</si>
  <si>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</si>
  <si>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</si>
  <si>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</si>
  <si>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</si>
  <si>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</si>
  <si>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</si>
  <si>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</si>
  <si>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</si>
  <si>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</si>
  <si>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</si>
  <si>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</si>
  <si>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</si>
  <si>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</si>
  <si>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</si>
  <si>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</si>
  <si>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</si>
  <si>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</si>
  <si>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</si>
  <si>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</si>
  <si>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</si>
  <si>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</si>
  <si>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</si>
  <si>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</si>
  <si>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</si>
  <si>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</si>
  <si>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</si>
  <si>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</si>
  <si>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</si>
  <si>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</si>
  <si>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</si>
  <si>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</si>
  <si>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</si>
  <si>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</si>
  <si>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</si>
  <si>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</si>
  <si>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</si>
  <si>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</si>
  <si>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</si>
  <si>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</si>
  <si>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</si>
  <si>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</si>
  <si>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</si>
  <si>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</si>
  <si>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</si>
  <si>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</si>
  <si>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</si>
  <si>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</si>
  <si>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</si>
  <si>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</si>
  <si>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</si>
  <si>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</si>
  <si>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</si>
  <si>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</si>
  <si>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</si>
  <si>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</si>
  <si>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</si>
  <si>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</si>
  <si>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</si>
  <si>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</si>
  <si>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</si>
  <si>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</si>
  <si>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</si>
  <si>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</si>
  <si>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</si>
  <si>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</si>
  <si>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</si>
  <si>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</si>
  <si>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</si>
  <si>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</si>
  <si>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</si>
  <si>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</si>
  <si>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</si>
  <si>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</si>
  <si>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</si>
  <si>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</si>
  <si>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</si>
  <si>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</si>
  <si>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</si>
  <si>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</si>
  <si>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</si>
  <si>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</si>
  <si>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</si>
  <si>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</si>
  <si>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</si>
  <si>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</si>
  <si>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</si>
  <si>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</si>
  <si>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</si>
  <si>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</si>
  <si>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</si>
  <si>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</si>
  <si>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</si>
  <si>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</si>
  <si>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</si>
  <si>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</si>
  <si>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</si>
  <si>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</si>
  <si>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</si>
  <si>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</si>
  <si>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</si>
  <si>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</si>
  <si>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</si>
  <si>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</si>
  <si>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</si>
  <si>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</si>
  <si>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</si>
  <si>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</si>
  <si>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</si>
  <si>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</si>
  <si>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</si>
  <si>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</si>
  <si>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</si>
  <si>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</si>
  <si>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</si>
  <si>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</si>
  <si>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</si>
  <si>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</si>
  <si>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</si>
  <si>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</si>
  <si>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</si>
  <si>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</si>
  <si>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</si>
  <si>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</si>
  <si>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</si>
  <si>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</si>
  <si>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</si>
  <si>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</si>
  <si>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</si>
  <si>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</si>
  <si>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</si>
  <si>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</si>
  <si>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</si>
  <si>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</si>
  <si>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</si>
  <si>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</si>
  <si>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</si>
  <si>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</si>
  <si>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</si>
  <si>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</si>
  <si>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</si>
  <si>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</si>
  <si>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</si>
  <si>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</si>
  <si>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</si>
  <si>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</si>
  <si>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</si>
  <si>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</si>
  <si>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</si>
  <si>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</si>
  <si>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</si>
  <si>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</si>
  <si>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</si>
  <si>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</si>
  <si>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</si>
  <si>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</si>
  <si>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</si>
  <si>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</si>
  <si>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</si>
  <si>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</si>
  <si>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</si>
  <si>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</si>
  <si>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</si>
  <si>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</si>
  <si>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</si>
  <si>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</si>
  <si>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</si>
  <si>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</si>
  <si>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</si>
  <si>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</si>
  <si>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</si>
  <si>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</si>
  <si>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</si>
  <si>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</si>
  <si>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</si>
  <si>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</si>
  <si>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</si>
  <si>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</si>
  <si>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</si>
  <si>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</si>
  <si>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</si>
  <si>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</si>
  <si>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</si>
  <si>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</si>
  <si>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</si>
  <si>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</si>
  <si>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</si>
  <si>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</si>
  <si>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</si>
  <si>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</si>
  <si>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</si>
  <si>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</si>
  <si>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</si>
  <si>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</si>
  <si>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</si>
  <si>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</si>
  <si>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</si>
  <si>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</si>
  <si>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</si>
  <si>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</si>
  <si>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</si>
  <si>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</si>
  <si>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</si>
  <si>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</si>
  <si>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</si>
  <si>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</si>
  <si>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</si>
  <si>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</si>
  <si>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</si>
  <si>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</si>
  <si>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</si>
  <si>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</si>
  <si>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</si>
  <si>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</si>
  <si>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</si>
  <si>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</si>
  <si>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</si>
  <si>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</si>
  <si>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</si>
  <si>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</si>
  <si>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</si>
  <si>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</si>
  <si>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</si>
  <si>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</si>
  <si>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</si>
  <si>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</si>
  <si>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</si>
  <si>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</si>
  <si>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</si>
  <si>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</si>
  <si>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</si>
  <si>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</si>
  <si>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</si>
  <si>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</si>
  <si>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</si>
  <si>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</si>
  <si>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</si>
  <si>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</si>
  <si>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</si>
  <si>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</si>
  <si>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</si>
  <si>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</si>
  <si>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</si>
  <si>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</si>
  <si>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</si>
  <si>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</si>
  <si>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</si>
  <si>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</si>
  <si>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</si>
  <si>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</si>
  <si>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</si>
  <si>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</si>
  <si>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</si>
  <si>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</si>
  <si>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</si>
  <si>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</si>
  <si>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</si>
  <si>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</si>
  <si>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</si>
  <si>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</si>
  <si>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</si>
  <si>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</si>
  <si>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</si>
  <si>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</si>
  <si>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</si>
  <si>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</si>
  <si>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</si>
  <si>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</si>
  <si>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</si>
  <si>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</si>
  <si>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</si>
  <si>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</si>
  <si>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</si>
  <si>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</si>
  <si>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</si>
  <si>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</si>
  <si>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</si>
  <si>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</si>
  <si>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</si>
  <si>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</si>
  <si>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</si>
  <si>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</si>
  <si>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</si>
  <si>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</si>
  <si>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</si>
  <si>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</si>
  <si>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</si>
  <si>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</si>
  <si>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</si>
  <si>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</si>
  <si>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</si>
  <si>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</si>
  <si>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</si>
  <si>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</si>
  <si>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</si>
  <si>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</si>
  <si>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</si>
  <si>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</si>
  <si>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</si>
  <si>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</si>
  <si>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</si>
  <si>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</si>
  <si>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</si>
  <si>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</si>
  <si>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</si>
  <si>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</si>
  <si>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</si>
  <si>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</si>
  <si>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</si>
  <si>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</si>
  <si>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</si>
  <si>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</si>
  <si>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</si>
  <si>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</si>
  <si>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</si>
  <si>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</si>
  <si>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</si>
  <si>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</si>
  <si>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</si>
  <si>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</si>
  <si>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</si>
  <si>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</si>
  <si>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</si>
  <si>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</si>
  <si>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</si>
  <si>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</si>
  <si>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</si>
  <si>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</si>
  <si>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</si>
  <si>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</si>
  <si>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</si>
  <si>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</si>
  <si>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</si>
  <si>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</si>
  <si>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</si>
  <si>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</si>
  <si>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</si>
  <si>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</si>
  <si>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</si>
  <si>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</si>
  <si>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</si>
  <si>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</si>
  <si>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</si>
  <si>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</si>
  <si>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</si>
  <si>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</si>
  <si>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</si>
  <si>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</si>
  <si>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</si>
  <si>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</si>
  <si>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</si>
  <si>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</si>
  <si>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</si>
  <si>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</si>
  <si>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</si>
  <si>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</si>
  <si>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</si>
  <si>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</si>
  <si>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</si>
  <si>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</si>
  <si>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</si>
  <si>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</si>
  <si>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</si>
  <si>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</si>
  <si>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</si>
  <si>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</si>
  <si>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</si>
  <si>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</si>
  <si>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</si>
  <si>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</si>
  <si>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</si>
  <si>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</si>
  <si>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</si>
  <si>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</si>
  <si>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</si>
  <si>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</si>
  <si>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</si>
  <si>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</si>
  <si>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</si>
  <si>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</si>
  <si>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</si>
  <si>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</si>
  <si>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</si>
  <si>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</si>
  <si>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</si>
  <si>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</si>
  <si>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</si>
  <si>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</si>
  <si>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</si>
  <si>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</si>
  <si>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</si>
  <si>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</si>
  <si>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</si>
  <si>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</si>
  <si>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</si>
  <si>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</si>
  <si>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</si>
  <si>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</si>
  <si>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</si>
  <si>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</si>
  <si>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</si>
  <si>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</si>
  <si>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</si>
  <si>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</si>
  <si>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</si>
  <si>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</si>
  <si>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</si>
  <si>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</si>
  <si>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</si>
  <si>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</si>
  <si>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</si>
  <si>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</si>
  <si>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</si>
  <si>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</si>
  <si>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</si>
  <si>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</si>
  <si>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</si>
  <si>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</si>
  <si>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</si>
  <si>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</si>
  <si>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</si>
  <si>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</si>
  <si>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</si>
  <si>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</si>
  <si>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</si>
  <si>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</si>
  <si>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</si>
  <si>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</si>
  <si>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</si>
  <si>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</si>
  <si>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</si>
  <si>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</si>
  <si>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</si>
  <si>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</si>
  <si>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</si>
  <si>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</si>
  <si>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</si>
  <si>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</si>
  <si>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</si>
  <si>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</si>
  <si>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</si>
  <si>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</si>
  <si>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</si>
  <si>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</si>
  <si>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</si>
  <si>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</si>
  <si>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</si>
  <si>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</si>
  <si>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</si>
  <si>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</si>
  <si>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</si>
  <si>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</si>
  <si>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</si>
  <si>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</si>
  <si>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</si>
  <si>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</si>
  <si>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</si>
  <si>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</si>
  <si>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</si>
  <si>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</si>
  <si>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</si>
  <si>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</si>
  <si>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</si>
  <si>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</si>
  <si>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</si>
  <si>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</si>
  <si>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</si>
  <si>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</si>
  <si>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</si>
  <si>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</si>
  <si>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</si>
  <si>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</si>
  <si>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</si>
  <si>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</si>
  <si>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</si>
  <si>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</si>
  <si>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</si>
  <si>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</si>
  <si>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</si>
  <si>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</si>
  <si>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</si>
  <si>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</si>
  <si>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</si>
  <si>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</si>
  <si>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</si>
  <si>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</si>
  <si>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</si>
  <si>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</si>
  <si>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</si>
  <si>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</si>
  <si>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</si>
  <si>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</si>
  <si>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</si>
  <si>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</si>
  <si>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</si>
  <si>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</si>
  <si>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</si>
  <si>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</si>
  <si>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</si>
  <si>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</si>
  <si>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</si>
  <si>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</si>
  <si>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</si>
  <si>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</si>
  <si>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</si>
  <si>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</si>
  <si>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</si>
  <si>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</si>
  <si>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</si>
  <si>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</si>
  <si>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</si>
  <si>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</si>
  <si>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</si>
  <si>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</si>
  <si>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</si>
  <si>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</si>
  <si>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</si>
  <si>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</si>
  <si>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</si>
  <si>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</si>
  <si>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</si>
  <si>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</si>
  <si>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</si>
  <si>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</si>
  <si>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</si>
  <si>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</si>
  <si>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</si>
  <si>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</si>
  <si>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</si>
  <si>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</si>
  <si>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</si>
  <si>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</si>
  <si>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</si>
  <si>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</si>
  <si>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</si>
  <si>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</si>
  <si>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</si>
  <si>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</si>
  <si>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</si>
  <si>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</si>
  <si>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</si>
  <si>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</si>
  <si>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</si>
  <si>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</si>
  <si>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</si>
  <si>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</si>
  <si>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</si>
  <si>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</si>
  <si>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</si>
  <si>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</si>
  <si>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</si>
  <si>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</si>
  <si>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</si>
  <si>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</si>
  <si>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</si>
  <si>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</si>
  <si>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</si>
  <si>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</si>
  <si>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</si>
  <si>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</si>
  <si>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</si>
  <si>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</si>
  <si>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</si>
  <si>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</si>
  <si>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</si>
  <si>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</si>
  <si>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</si>
  <si>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</si>
  <si>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</si>
  <si>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</si>
  <si>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</si>
  <si>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</si>
  <si>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</si>
  <si>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</si>
  <si>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</si>
  <si>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</si>
  <si>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</si>
  <si>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</si>
  <si>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</si>
  <si>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</si>
  <si>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</si>
  <si>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</si>
  <si>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</si>
  <si>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</si>
  <si>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</si>
  <si>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</si>
  <si>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</si>
  <si>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</si>
  <si>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</si>
  <si>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</si>
  <si>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</si>
  <si>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</si>
  <si>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</si>
  <si>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</si>
  <si>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</si>
  <si>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</si>
  <si>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</si>
  <si>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</si>
  <si>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</si>
  <si>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</si>
  <si>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</si>
  <si>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</si>
  <si>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</si>
  <si>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</si>
  <si>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</si>
  <si>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</si>
  <si>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</si>
  <si>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</si>
  <si>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</si>
  <si>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</si>
  <si>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</si>
  <si>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</si>
  <si>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</si>
  <si>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</si>
  <si>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</si>
  <si>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</si>
  <si>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</si>
  <si>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</si>
  <si>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</si>
  <si>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</si>
  <si>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</si>
  <si>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</si>
  <si>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</si>
  <si>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</si>
  <si>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</si>
  <si>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</si>
  <si>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</si>
  <si>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</si>
  <si>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</si>
  <si>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</si>
  <si>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</si>
  <si>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</si>
  <si>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</si>
  <si>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</si>
  <si>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</si>
  <si>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</si>
  <si>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</si>
  <si>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</si>
  <si>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</si>
  <si>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</si>
  <si>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</si>
  <si>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</si>
  <si>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</si>
  <si>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</si>
  <si>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</si>
  <si>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</si>
  <si>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</si>
  <si>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</si>
  <si>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</si>
  <si>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</si>
  <si>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</si>
  <si>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</si>
  <si>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</si>
  <si>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</si>
  <si>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</si>
  <si>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</si>
  <si>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</si>
  <si>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</si>
  <si>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</si>
  <si>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</si>
  <si>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</si>
  <si>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</si>
  <si>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</si>
  <si>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</si>
  <si>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</si>
  <si>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</si>
  <si>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</si>
  <si>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</si>
  <si>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</si>
  <si>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</si>
  <si>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</si>
  <si>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</si>
  <si>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</si>
  <si>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</si>
  <si>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</si>
  <si>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</si>
  <si>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</si>
  <si>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</si>
  <si>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</si>
  <si>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</si>
  <si>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</si>
  <si>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</si>
  <si>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</si>
  <si>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</si>
  <si>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</si>
  <si>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</si>
  <si>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</si>
  <si>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</si>
  <si>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</si>
  <si>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</si>
  <si>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</si>
  <si>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</si>
  <si>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</si>
  <si>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</si>
  <si>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</si>
  <si>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</si>
  <si>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</si>
  <si>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</si>
  <si>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</si>
  <si>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</si>
  <si>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</si>
  <si>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</si>
  <si>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</si>
  <si>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</si>
  <si>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</si>
  <si>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</si>
  <si>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</si>
  <si>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</si>
  <si>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</si>
  <si>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</si>
  <si>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</si>
  <si>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</si>
  <si>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</si>
  <si>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</si>
  <si>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</si>
  <si>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</si>
  <si>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</si>
  <si>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</si>
  <si>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</si>
  <si>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</si>
  <si>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</si>
  <si>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</si>
  <si>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</si>
  <si>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</si>
  <si>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</si>
  <si>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</si>
  <si>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</si>
  <si>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</si>
  <si>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</si>
  <si>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</si>
  <si>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</si>
  <si>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</si>
  <si>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</si>
  <si>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</si>
  <si>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</si>
  <si>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</si>
  <si>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</si>
  <si>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</si>
  <si>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</si>
  <si>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</si>
  <si>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</si>
  <si>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</si>
  <si>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</si>
  <si>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</si>
  <si>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</si>
  <si>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</si>
  <si>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</si>
  <si>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</si>
  <si>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</si>
  <si>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</si>
  <si>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</si>
  <si>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</si>
  <si>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</si>
  <si>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</si>
  <si>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</si>
  <si>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</si>
  <si>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</si>
  <si>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</si>
  <si>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</si>
  <si>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</si>
  <si>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</si>
  <si>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</si>
  <si>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</si>
  <si>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</si>
  <si>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</si>
  <si>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</si>
  <si>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</si>
  <si>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</si>
  <si>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</si>
  <si>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</si>
  <si>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</si>
  <si>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</si>
  <si>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</si>
  <si>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</si>
  <si>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</si>
  <si>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</si>
  <si>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</si>
  <si>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</si>
  <si>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</si>
  <si>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</si>
  <si>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</si>
  <si>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</si>
  <si>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</si>
  <si>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</si>
  <si>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</si>
  <si>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</si>
  <si>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</si>
  <si>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</si>
  <si>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</si>
  <si>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</si>
  <si>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</si>
  <si>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</si>
  <si>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</si>
  <si>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</si>
  <si>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</si>
  <si>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</si>
  <si>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</si>
  <si>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</si>
  <si>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</si>
  <si>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</si>
  <si>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</si>
  <si>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</si>
  <si>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</si>
  <si>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</si>
  <si>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</si>
  <si>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</si>
  <si>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</si>
  <si>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</si>
  <si>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</si>
  <si>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</si>
  <si>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</si>
  <si>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</si>
  <si>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</si>
  <si>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</si>
  <si>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</si>
  <si>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</si>
  <si>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</si>
  <si>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</si>
  <si>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</si>
  <si>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</si>
  <si>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</si>
  <si>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</si>
  <si>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</si>
  <si>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</si>
  <si>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</si>
  <si>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</si>
  <si>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</si>
  <si>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</si>
  <si>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</si>
  <si>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</si>
  <si>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</si>
  <si>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</si>
  <si>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</si>
  <si>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</si>
  <si>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</si>
  <si>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</si>
  <si>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</si>
  <si>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</si>
  <si>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</si>
  <si>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</si>
  <si>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</si>
  <si>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</si>
  <si>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</si>
  <si>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</si>
  <si>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</si>
  <si>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</si>
  <si>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</si>
  <si>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</si>
  <si>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</si>
  <si>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</si>
  <si>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</si>
  <si>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</si>
  <si>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</si>
  <si>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</si>
  <si>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</si>
  <si>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</si>
  <si>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</si>
  <si>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</si>
  <si>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</si>
  <si>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</si>
  <si>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</si>
  <si>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</si>
  <si>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</si>
  <si>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</si>
  <si>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</si>
  <si>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</si>
  <si>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</si>
  <si>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</si>
  <si>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</si>
  <si>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</si>
  <si>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</si>
  <si>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</si>
  <si>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</si>
  <si>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</si>
  <si>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</si>
  <si>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</si>
  <si>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</si>
  <si>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</si>
  <si>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</si>
  <si>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</si>
  <si>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</si>
  <si>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</si>
  <si>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</si>
  <si>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</si>
  <si>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</si>
  <si>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</si>
  <si>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</si>
  <si>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</si>
  <si>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</si>
  <si>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</si>
  <si>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</si>
  <si>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</si>
  <si>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</si>
  <si>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</si>
  <si>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</si>
  <si>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</si>
  <si>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</si>
  <si>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</si>
  <si>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</si>
  <si>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</si>
  <si>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</si>
  <si>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</si>
  <si>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</si>
  <si>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</si>
  <si>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</si>
  <si>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</si>
  <si>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</si>
  <si>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</si>
  <si>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</si>
  <si>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</si>
  <si>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</si>
  <si>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</si>
  <si>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</si>
  <si>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</si>
  <si>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</si>
  <si>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</si>
  <si>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</si>
  <si>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</si>
  <si>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</si>
  <si>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</si>
  <si>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</si>
  <si>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</si>
  <si>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</si>
  <si>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</si>
  <si>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</si>
  <si>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</si>
  <si>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</si>
  <si>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</si>
  <si>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</si>
  <si>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</si>
  <si>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</si>
  <si>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</si>
  <si>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</si>
  <si>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</si>
  <si>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</si>
  <si>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</si>
  <si>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</si>
  <si>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</si>
  <si>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</si>
  <si>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</si>
  <si>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</si>
  <si>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</si>
  <si>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</si>
  <si>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</si>
  <si>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</si>
  <si>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</si>
  <si>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</si>
  <si>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</si>
  <si>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</si>
  <si>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</si>
  <si>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</si>
  <si>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</si>
  <si>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</si>
  <si>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</si>
  <si>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</si>
  <si>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</si>
  <si>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</si>
  <si>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</si>
  <si>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</si>
  <si>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</si>
  <si>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</si>
  <si>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</si>
  <si>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</si>
  <si>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</si>
  <si>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</si>
  <si>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</si>
  <si>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</si>
  <si>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</si>
  <si>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</si>
  <si>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</si>
  <si>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</si>
  <si>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</si>
  <si>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</si>
  <si>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</si>
  <si>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</si>
  <si>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</si>
  <si>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</si>
  <si>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</si>
  <si>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</si>
  <si>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</si>
  <si>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</si>
  <si>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</si>
  <si>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</si>
  <si>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</si>
  <si>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</si>
  <si>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</si>
  <si>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</si>
  <si>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</si>
  <si>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</si>
  <si>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</si>
  <si>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</si>
  <si>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</si>
  <si>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</si>
  <si>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</si>
  <si>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</si>
  <si>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</si>
  <si>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</si>
  <si>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</si>
  <si>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</si>
  <si>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</si>
  <si>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</si>
  <si>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</si>
  <si>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</si>
  <si>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</si>
  <si>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</si>
  <si>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</si>
  <si>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</si>
  <si>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</si>
  <si>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</si>
  <si>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</si>
  <si>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</si>
  <si>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</si>
  <si>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</si>
  <si>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</si>
  <si>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</si>
  <si>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</si>
  <si>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</si>
  <si>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</si>
  <si>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</si>
  <si>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</si>
  <si>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</si>
  <si>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</si>
  <si>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</si>
  <si>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</si>
  <si>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</si>
  <si>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</si>
  <si>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</si>
  <si>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</si>
  <si>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</si>
  <si>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</si>
  <si>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</si>
  <si>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</si>
  <si>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</si>
  <si>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</si>
  <si>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</si>
  <si>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</si>
  <si>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</si>
  <si>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</si>
  <si>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</si>
  <si>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</si>
  <si>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</si>
  <si>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</si>
  <si>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</si>
  <si>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</si>
  <si>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</si>
  <si>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</si>
  <si>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</si>
  <si>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</si>
  <si>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</si>
  <si>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</si>
  <si>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</si>
  <si>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</si>
  <si>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</si>
  <si>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</si>
  <si>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</si>
  <si>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</si>
  <si>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</si>
  <si>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</si>
  <si>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</si>
  <si>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</si>
  <si>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</si>
  <si>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</si>
  <si>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</si>
  <si>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</si>
  <si>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</si>
  <si>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</si>
  <si>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</si>
  <si>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</si>
  <si>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</si>
  <si>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</si>
  <si>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</si>
  <si>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</si>
  <si>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</si>
  <si>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</si>
  <si>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</si>
  <si>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</si>
  <si>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</si>
  <si>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</si>
  <si>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</si>
  <si>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</si>
  <si>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</si>
  <si>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</si>
  <si>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</si>
  <si>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</si>
  <si>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</si>
  <si>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</si>
  <si>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</si>
  <si>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</si>
  <si>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</si>
  <si>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</si>
  <si>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</si>
  <si>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</si>
  <si>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</si>
  <si>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</si>
  <si>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</si>
  <si>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</si>
  <si>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</si>
  <si>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</si>
  <si>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</si>
  <si>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</si>
  <si>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</si>
  <si>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</si>
  <si>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</si>
  <si>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</si>
  <si>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</si>
  <si>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</si>
  <si>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</si>
  <si>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</si>
  <si>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</si>
  <si>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</si>
  <si>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</si>
  <si>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</si>
  <si>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</si>
  <si>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</si>
  <si>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</si>
  <si>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</si>
  <si>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</si>
  <si>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</si>
  <si>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</si>
  <si>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</si>
  <si>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</si>
  <si>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</si>
  <si>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</si>
  <si>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</si>
  <si>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</si>
  <si>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</si>
  <si>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</si>
  <si>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</si>
  <si>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</si>
  <si>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</si>
  <si>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</si>
  <si>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</si>
  <si>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</si>
  <si>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</si>
  <si>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</si>
  <si>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</si>
  <si>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</si>
  <si>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</si>
  <si>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</si>
  <si>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</si>
  <si>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</si>
  <si>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</si>
  <si>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</si>
  <si>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</si>
  <si>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</si>
  <si>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</si>
  <si>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</si>
  <si>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</si>
  <si>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</si>
  <si>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</si>
  <si>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</si>
  <si>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</si>
  <si>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</si>
  <si>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</si>
  <si>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</si>
  <si>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</si>
  <si>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</si>
  <si>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</si>
  <si>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</si>
  <si>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</si>
  <si>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</si>
  <si>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</si>
  <si>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</si>
  <si>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</si>
  <si>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</si>
  <si>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</si>
  <si>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</si>
  <si>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</si>
  <si>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</si>
  <si>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</si>
  <si>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</si>
  <si>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</si>
  <si>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</si>
  <si>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</si>
  <si>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</si>
  <si>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</si>
  <si>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</si>
  <si>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</si>
  <si>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</si>
  <si>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</si>
  <si>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</si>
  <si>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</si>
  <si>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</si>
  <si>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</si>
  <si>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</si>
  <si>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</si>
  <si>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</si>
  <si>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</si>
  <si>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</si>
  <si>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</si>
  <si>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</si>
  <si>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</si>
  <si>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</si>
  <si>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</si>
  <si>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</si>
  <si>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</si>
  <si>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</si>
  <si>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</si>
  <si>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</si>
  <si>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</si>
  <si>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</si>
  <si>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</si>
  <si>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</si>
  <si>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</si>
  <si>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</si>
  <si>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</si>
  <si>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</si>
  <si>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</si>
  <si>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</si>
  <si>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</si>
  <si>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</si>
  <si>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</si>
  <si>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</si>
  <si>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</si>
  <si>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</si>
  <si>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</si>
  <si>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</si>
  <si>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</si>
  <si>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</si>
  <si>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</si>
  <si>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</si>
  <si>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</si>
  <si>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</si>
  <si>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</si>
  <si>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</si>
  <si>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</si>
  <si>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</si>
  <si>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</si>
  <si>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</si>
  <si>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</si>
  <si>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</si>
  <si>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</si>
  <si>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</si>
  <si>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</si>
  <si>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</si>
  <si>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</si>
  <si>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</si>
  <si>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</si>
  <si>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</si>
  <si>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</si>
  <si>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</si>
  <si>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</si>
  <si>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</si>
  <si>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</si>
  <si>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</si>
  <si>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</si>
  <si>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</si>
  <si>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</si>
  <si>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</si>
  <si>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</si>
  <si>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</si>
  <si>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</si>
  <si>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</si>
  <si>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</si>
  <si>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</si>
  <si>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</si>
  <si>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</si>
  <si>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</si>
  <si>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</si>
  <si>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</si>
  <si>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</si>
  <si>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</si>
  <si>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</si>
  <si>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</si>
  <si>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</si>
  <si>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</si>
  <si>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</si>
  <si>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</si>
  <si>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</si>
  <si>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</si>
  <si>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</si>
  <si>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</si>
  <si>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</si>
  <si>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</si>
  <si>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</si>
  <si>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</si>
  <si>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</si>
  <si>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</si>
  <si>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</si>
  <si>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</si>
  <si>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</si>
  <si>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</si>
  <si>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</si>
  <si>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</si>
  <si>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</si>
  <si>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</si>
  <si>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</si>
  <si>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</si>
  <si>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</si>
  <si>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</si>
  <si>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</si>
  <si>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</si>
  <si>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</si>
  <si>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</si>
  <si>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</si>
  <si>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</si>
  <si>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</si>
  <si>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</si>
  <si>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</si>
  <si>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</si>
  <si>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</si>
  <si>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</si>
  <si>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</si>
  <si>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</si>
  <si>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</si>
  <si>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</si>
  <si>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</si>
  <si>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</si>
  <si>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</si>
  <si>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</si>
  <si>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</si>
  <si>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</si>
  <si>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</si>
  <si>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</si>
  <si>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</si>
  <si>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</si>
  <si>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</si>
  <si>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</si>
  <si>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</si>
  <si>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</si>
  <si>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</si>
  <si>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</si>
  <si>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</si>
  <si>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</si>
  <si>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</si>
  <si>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</si>
  <si>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</si>
  <si>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</si>
  <si>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</si>
  <si>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</si>
  <si>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</si>
  <si>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</si>
  <si>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</si>
  <si>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</si>
  <si>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</si>
  <si>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</si>
  <si>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</si>
  <si>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</si>
  <si>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</si>
  <si>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</si>
  <si>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</si>
  <si>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</si>
  <si>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</si>
  <si>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</si>
  <si>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</si>
  <si>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</si>
  <si>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</si>
  <si>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</si>
  <si>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</si>
  <si>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</si>
  <si>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</si>
  <si>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</si>
  <si>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</si>
  <si>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</si>
  <si>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</si>
  <si>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</si>
  <si>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</si>
  <si>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</si>
  <si>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</si>
  <si>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</si>
  <si>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</si>
  <si>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</si>
  <si>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</si>
  <si>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</si>
  <si>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</si>
  <si>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</si>
  <si>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</si>
  <si>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</si>
  <si>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</si>
  <si>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</si>
  <si>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</si>
  <si>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</si>
  <si>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</si>
  <si>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</si>
  <si>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</si>
  <si>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</si>
  <si>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</si>
  <si>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</si>
  <si>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</si>
  <si>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</si>
  <si>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</si>
  <si>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</si>
  <si>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</si>
  <si>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</si>
  <si>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</si>
  <si>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</si>
  <si>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</si>
  <si>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</si>
  <si>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</si>
  <si>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</si>
  <si>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</si>
  <si>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</si>
  <si>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</si>
  <si>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</si>
  <si>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</si>
  <si>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</si>
  <si>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</si>
  <si>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</si>
  <si>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</si>
  <si>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</si>
  <si>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</si>
  <si>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</si>
  <si>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</si>
  <si>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</si>
  <si>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</si>
  <si>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</si>
  <si>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</si>
  <si>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</si>
  <si>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</si>
  <si>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</si>
  <si>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</si>
  <si>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</si>
  <si>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</si>
  <si>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</si>
  <si>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</si>
  <si>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</si>
  <si>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</si>
  <si>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</si>
  <si>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</si>
  <si>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</si>
  <si>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</si>
  <si>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</si>
  <si>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</si>
  <si>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</si>
  <si>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</si>
  <si>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</si>
  <si>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</si>
  <si>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</si>
  <si>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</si>
  <si>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</si>
  <si>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</si>
  <si>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</si>
  <si>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</si>
  <si>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</si>
  <si>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</si>
  <si>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</si>
  <si>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</si>
  <si>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</si>
  <si>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</si>
  <si>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</si>
  <si>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</si>
  <si>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</si>
  <si>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</si>
  <si>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</si>
  <si>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</si>
  <si>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</si>
  <si>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</si>
  <si>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</si>
  <si>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</si>
  <si>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</si>
  <si>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</si>
  <si>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</si>
  <si>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</si>
  <si>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</si>
  <si>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</si>
  <si>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</si>
  <si>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</si>
  <si>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</si>
  <si>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</si>
  <si>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</si>
  <si>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</si>
  <si>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</si>
  <si>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</si>
  <si>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</si>
  <si>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</si>
  <si>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</si>
  <si>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</si>
  <si>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</si>
  <si>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</si>
  <si>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</si>
  <si>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</si>
  <si>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</si>
  <si>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</si>
  <si>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</si>
  <si>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</si>
  <si>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</si>
  <si>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</si>
  <si>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</si>
  <si>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</si>
  <si>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</si>
  <si>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</si>
  <si>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</si>
  <si>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</si>
  <si>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</si>
  <si>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</si>
  <si>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</si>
  <si>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</si>
  <si>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</si>
  <si>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</si>
  <si>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</si>
  <si>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</si>
  <si>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</si>
  <si>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</si>
  <si>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</si>
  <si>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</si>
  <si>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</si>
  <si>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</si>
  <si>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</si>
  <si>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</si>
  <si>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</si>
  <si>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</si>
  <si>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</si>
  <si>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</si>
  <si>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</si>
  <si>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</si>
  <si>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</si>
  <si>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</si>
  <si>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</si>
  <si>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</si>
  <si>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</si>
  <si>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</si>
  <si>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</si>
  <si>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</si>
  <si>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</si>
  <si>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</si>
  <si>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</si>
  <si>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</si>
  <si>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</si>
  <si>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</si>
  <si>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</si>
  <si>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</si>
  <si>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</si>
  <si>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</si>
  <si>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</si>
  <si>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</si>
  <si>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</si>
  <si>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</si>
  <si>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</si>
  <si>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</si>
  <si>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</si>
  <si>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</si>
  <si>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</si>
  <si>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</si>
  <si>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</si>
  <si>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</si>
  <si>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</si>
  <si>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</si>
  <si>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</si>
  <si>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</si>
  <si>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</si>
  <si>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</si>
  <si>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</si>
  <si>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</si>
  <si>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</si>
  <si>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</si>
  <si>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</si>
  <si>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</si>
  <si>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</si>
  <si>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</si>
  <si>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</si>
  <si>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</si>
  <si>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</si>
  <si>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</si>
  <si>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</si>
  <si>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</si>
  <si>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</si>
  <si>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</si>
  <si>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</si>
  <si>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</si>
  <si>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</si>
  <si>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</si>
  <si>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</si>
  <si>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</si>
  <si>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</si>
  <si>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</si>
  <si>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</si>
  <si>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</si>
  <si>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</si>
  <si>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</si>
  <si>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</si>
  <si>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</si>
  <si>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</si>
  <si>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</si>
  <si>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</si>
  <si>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</si>
  <si>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</si>
  <si>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</si>
  <si>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</si>
  <si>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</si>
  <si>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</si>
  <si>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</si>
  <si>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</si>
  <si>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</si>
  <si>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</si>
  <si>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</si>
  <si>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</si>
  <si>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</si>
  <si>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</si>
  <si>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</si>
  <si>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</si>
  <si>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</si>
  <si>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</si>
  <si>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</si>
  <si>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</si>
  <si>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</si>
  <si>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</si>
  <si>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</si>
  <si>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</si>
  <si>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</si>
  <si>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</si>
  <si>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</si>
  <si>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</si>
  <si>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</si>
  <si>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</si>
  <si>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</si>
  <si>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</si>
  <si>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</si>
  <si>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</si>
  <si>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</si>
  <si>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</si>
  <si>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</si>
  <si>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</si>
  <si>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</si>
  <si>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</si>
  <si>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</si>
  <si>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</si>
  <si>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</si>
  <si>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</si>
  <si>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</si>
  <si>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</si>
  <si>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</si>
  <si>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</si>
  <si>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</si>
  <si>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</si>
  <si>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</si>
  <si>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</si>
  <si>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</si>
  <si>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</si>
  <si>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</si>
  <si>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</si>
  <si>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</si>
  <si>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</si>
  <si>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</si>
  <si>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</si>
  <si>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</si>
  <si>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</si>
  <si>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</si>
  <si>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</si>
  <si>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</si>
  <si>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</si>
  <si>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</si>
  <si>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</si>
  <si>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</si>
  <si>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</si>
  <si>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</si>
  <si>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</si>
  <si>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</si>
  <si>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</si>
  <si>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</si>
  <si>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</si>
  <si>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</si>
  <si>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</si>
  <si>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</si>
  <si>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</si>
  <si>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</si>
  <si>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</si>
  <si>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</si>
  <si>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</si>
  <si>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</si>
  <si>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</si>
  <si>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</si>
  <si>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</si>
  <si>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</si>
  <si>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</si>
  <si>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</si>
  <si>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</si>
  <si>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</si>
  <si>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</si>
  <si>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</si>
  <si>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</si>
  <si>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</si>
  <si>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</si>
  <si>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</si>
  <si>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</si>
  <si>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</si>
  <si>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</si>
  <si>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</si>
  <si>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</si>
  <si>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</si>
  <si>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</si>
  <si>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</si>
  <si>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</si>
  <si>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</si>
  <si>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</si>
  <si>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</si>
  <si>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</si>
  <si>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</si>
  <si>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</si>
  <si>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</si>
  <si>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</si>
  <si>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</si>
  <si>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</si>
  <si>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</si>
  <si>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</si>
  <si>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</si>
  <si>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</si>
  <si>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</si>
  <si>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</si>
  <si>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</si>
  <si>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</si>
  <si>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</si>
  <si>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</si>
  <si>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</si>
  <si>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</si>
  <si>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</si>
  <si>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</si>
  <si>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</si>
  <si>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</si>
  <si>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</si>
  <si>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</si>
  <si>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</si>
  <si>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</si>
  <si>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</si>
  <si>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</si>
  <si>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</si>
  <si>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</si>
  <si>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</si>
  <si>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</si>
  <si>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</si>
  <si>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</si>
  <si>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</si>
  <si>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</si>
  <si>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</si>
  <si>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</si>
  <si>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</si>
  <si>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</si>
  <si>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</si>
  <si>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</si>
  <si>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</si>
  <si>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</si>
  <si>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</si>
  <si>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</si>
  <si>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</si>
  <si>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</si>
  <si>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</si>
  <si>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</si>
  <si>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</si>
  <si>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</si>
  <si>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</si>
  <si>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</si>
  <si>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</si>
  <si>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</si>
  <si>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</si>
  <si>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</si>
  <si>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</si>
  <si>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</si>
  <si>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</si>
  <si>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</si>
  <si>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</si>
  <si>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</si>
  <si>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</si>
  <si>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</si>
  <si>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</si>
  <si>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</si>
  <si>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</si>
  <si>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</si>
  <si>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</si>
  <si>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</si>
  <si>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</si>
  <si>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</si>
  <si>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</si>
  <si>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</si>
  <si>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</si>
  <si>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</si>
  <si>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</si>
  <si>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</si>
  <si>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</si>
  <si>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</si>
  <si>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</si>
  <si>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</si>
  <si>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</si>
  <si>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</si>
  <si>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</si>
  <si>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</si>
  <si>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</si>
  <si>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</si>
  <si>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</si>
  <si>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</si>
  <si>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</si>
  <si>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</si>
  <si>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</si>
  <si>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</si>
  <si>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</si>
  <si>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</si>
  <si>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</si>
  <si>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</si>
  <si>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</si>
  <si>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</si>
  <si>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</si>
  <si>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</si>
  <si>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</si>
  <si>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</si>
  <si>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</si>
  <si>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</si>
  <si>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</si>
  <si>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</si>
  <si>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</si>
  <si>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</si>
  <si>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</si>
  <si>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</si>
  <si>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</si>
  <si>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</si>
  <si>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</si>
  <si>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</si>
  <si>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</si>
  <si>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</si>
  <si>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</si>
  <si>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</si>
  <si>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</si>
  <si>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</si>
  <si>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</si>
  <si>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</si>
  <si>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</si>
  <si>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</si>
  <si>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</si>
  <si>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</si>
  <si>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</si>
  <si>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</si>
  <si>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</si>
  <si>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</si>
  <si>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</si>
  <si>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</si>
  <si>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</si>
  <si>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</si>
  <si>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</si>
  <si>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</si>
  <si>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</si>
  <si>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</si>
  <si>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</si>
  <si>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</si>
  <si>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</si>
  <si>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</si>
  <si>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</si>
  <si>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</si>
  <si>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</si>
  <si>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</si>
  <si>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</si>
  <si>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</si>
  <si>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</si>
  <si>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</si>
  <si>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</si>
  <si>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</si>
  <si>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</si>
  <si>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</si>
  <si>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</si>
  <si>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</si>
  <si>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</si>
  <si>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</si>
  <si>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</si>
  <si>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</si>
  <si>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</si>
  <si>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</si>
  <si>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</si>
  <si>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</si>
  <si>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</si>
  <si>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</si>
  <si>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</si>
  <si>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</si>
  <si>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</si>
  <si>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</si>
  <si>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</si>
  <si>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</si>
  <si>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</si>
  <si>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</si>
  <si>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</si>
  <si>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</si>
  <si>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</si>
  <si>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</si>
  <si>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</si>
  <si>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</si>
  <si>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</si>
  <si>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</si>
  <si>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</si>
  <si>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</si>
  <si>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</si>
  <si>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</si>
  <si>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</si>
  <si>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</si>
  <si>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</si>
  <si>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</si>
  <si>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</si>
  <si>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</si>
  <si>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</si>
  <si>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</si>
  <si>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</si>
  <si>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</si>
  <si>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</si>
  <si>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</si>
  <si>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</si>
  <si>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</si>
  <si>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</si>
  <si>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</si>
  <si>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</si>
  <si>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</si>
  <si>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</si>
  <si>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</si>
  <si>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</si>
  <si>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</si>
  <si>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</si>
  <si>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</si>
  <si>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</si>
  <si>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</si>
  <si>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</si>
  <si>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</si>
  <si>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</si>
  <si>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</si>
  <si>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</si>
  <si>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</si>
  <si>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</si>
  <si>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</si>
  <si>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</si>
  <si>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</si>
  <si>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</si>
  <si>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</si>
  <si>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</si>
  <si>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</si>
  <si>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</si>
  <si>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</si>
  <si>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</si>
  <si>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</si>
  <si>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</si>
  <si>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</si>
  <si>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</si>
  <si>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</si>
  <si>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</si>
  <si>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</si>
  <si>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</si>
  <si>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</si>
  <si>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</si>
  <si>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</si>
  <si>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</si>
  <si>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</si>
  <si>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</si>
  <si>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</si>
  <si>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</si>
  <si>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</si>
  <si>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</si>
  <si>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</si>
  <si>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</si>
  <si>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</si>
  <si>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</si>
  <si>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</si>
  <si>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</si>
  <si>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</si>
  <si>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</si>
  <si>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</si>
  <si>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</si>
  <si>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</si>
  <si>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</si>
  <si>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</si>
  <si>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</si>
  <si>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</si>
  <si>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</si>
  <si>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</si>
  <si>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</si>
  <si>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</si>
  <si>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</si>
  <si>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</si>
  <si>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</si>
  <si>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</si>
  <si>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</si>
  <si>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</si>
  <si>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</si>
  <si>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</si>
  <si>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</si>
  <si>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</si>
  <si>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</si>
  <si>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</si>
  <si>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</si>
  <si>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</si>
  <si>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</si>
  <si>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</si>
  <si>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</si>
  <si>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</si>
  <si>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</si>
  <si>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</si>
  <si>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</si>
  <si>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</si>
  <si>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</si>
  <si>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</si>
  <si>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</si>
  <si>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</si>
  <si>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</si>
  <si>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</si>
  <si>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</si>
  <si>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</si>
  <si>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</si>
  <si>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</si>
  <si>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</si>
  <si>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</si>
  <si>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</si>
  <si>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</si>
  <si>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</si>
  <si>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</si>
  <si>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</si>
  <si>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</si>
  <si>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</si>
  <si>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</si>
  <si>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</si>
  <si>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</si>
  <si>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</si>
  <si>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</si>
  <si>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</si>
  <si>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</si>
  <si>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</si>
  <si>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</si>
  <si>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</si>
  <si>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</si>
  <si>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</si>
  <si>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</si>
  <si>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</si>
  <si>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</si>
  <si>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</si>
  <si>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</si>
  <si>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</si>
  <si>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</si>
  <si>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</si>
  <si>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</si>
  <si>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</si>
  <si>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</si>
  <si>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</si>
  <si>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</si>
  <si>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</si>
  <si>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</si>
  <si>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</si>
  <si>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</si>
  <si>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</si>
  <si>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</si>
  <si>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</si>
  <si>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</si>
  <si>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</si>
  <si>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</si>
  <si>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</si>
  <si>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</si>
  <si>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</si>
  <si>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</si>
  <si>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</si>
  <si>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</si>
  <si>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</si>
  <si>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</si>
  <si>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</si>
  <si>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</si>
  <si>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</si>
  <si>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</si>
  <si>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</si>
  <si>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</si>
  <si>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</si>
  <si>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</si>
  <si>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</si>
  <si>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</si>
  <si>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</si>
  <si>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</si>
  <si>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</si>
  <si>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</si>
  <si>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</si>
  <si>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</si>
  <si>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</si>
  <si>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</si>
  <si>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</si>
  <si>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</si>
  <si>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</si>
  <si>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</si>
  <si>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</si>
  <si>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</si>
  <si>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</si>
  <si>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</si>
  <si>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</si>
  <si>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</si>
  <si>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</si>
  <si>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</si>
  <si>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</si>
  <si>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</si>
  <si>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</si>
  <si>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</si>
  <si>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</si>
  <si>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</si>
  <si>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</si>
  <si>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</si>
  <si>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</si>
  <si>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</si>
  <si>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</si>
  <si>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</si>
  <si>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</si>
  <si>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</si>
  <si>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</si>
  <si>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</si>
  <si>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</si>
  <si>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</si>
  <si>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</si>
  <si>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</si>
  <si>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</si>
  <si>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</si>
  <si>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</si>
  <si>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</si>
  <si>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</si>
  <si>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</si>
  <si>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</si>
  <si>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</si>
  <si>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</si>
  <si>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</si>
  <si>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</si>
  <si>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</si>
  <si>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</si>
  <si>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</si>
  <si>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</si>
  <si>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</si>
  <si>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</si>
  <si>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</si>
  <si>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</si>
  <si>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</si>
  <si>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</si>
  <si>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</si>
  <si>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</si>
  <si>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</si>
  <si>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</si>
  <si>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</si>
  <si>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</si>
  <si>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</si>
  <si>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</si>
  <si>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</si>
  <si>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</si>
  <si>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</si>
  <si>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</si>
  <si>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</si>
  <si>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</si>
  <si>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</si>
  <si>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</si>
  <si>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</si>
  <si>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</si>
  <si>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</si>
  <si>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</si>
  <si>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</si>
  <si>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</si>
  <si>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</si>
  <si>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</si>
  <si>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</si>
  <si>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</si>
  <si>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</si>
  <si>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</si>
  <si>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</si>
  <si>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</si>
  <si>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</si>
  <si>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</si>
  <si>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</si>
  <si>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</si>
  <si>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</si>
  <si>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</si>
  <si>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</si>
  <si>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</si>
  <si>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</si>
  <si>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</si>
  <si>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</si>
  <si>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</si>
  <si>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</si>
  <si>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</si>
  <si>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</si>
  <si>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</si>
  <si>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</si>
  <si>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</si>
  <si>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</si>
  <si>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</si>
  <si>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</si>
  <si>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</si>
  <si>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</si>
  <si>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</si>
  <si>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</si>
  <si>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</si>
  <si>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</si>
  <si>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</si>
  <si>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</si>
  <si>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</si>
  <si>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</si>
  <si>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</si>
  <si>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</si>
  <si>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</si>
  <si>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</si>
  <si>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</si>
  <si>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</si>
  <si>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</si>
  <si>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</si>
  <si>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</si>
  <si>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</si>
  <si>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</si>
  <si>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</si>
  <si>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</si>
  <si>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</si>
  <si>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</si>
  <si>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</si>
  <si>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</si>
  <si>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</si>
  <si>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</si>
  <si>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</si>
  <si>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</si>
  <si>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</si>
  <si>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</si>
  <si>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</si>
  <si>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</si>
  <si>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</si>
  <si>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</si>
  <si>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</si>
  <si>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</si>
  <si>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</si>
  <si>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</si>
  <si>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</si>
  <si>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</si>
  <si>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</si>
  <si>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</si>
  <si>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</si>
  <si>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</si>
  <si>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</si>
  <si>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</si>
  <si>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</si>
  <si>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</si>
  <si>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</si>
  <si>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</si>
  <si>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</si>
  <si>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</si>
  <si>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</si>
  <si>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</si>
  <si>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</si>
  <si>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</si>
  <si>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</si>
  <si>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</si>
  <si>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</si>
  <si>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</si>
  <si>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</si>
  <si>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</si>
  <si>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</si>
  <si>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</si>
  <si>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</si>
  <si>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</si>
  <si>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</si>
  <si>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</si>
  <si>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</si>
  <si>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</si>
  <si>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</si>
  <si>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</si>
  <si>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</si>
  <si>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</si>
  <si>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</si>
  <si>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</si>
  <si>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</si>
  <si>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</si>
  <si>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</si>
  <si>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</si>
  <si>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</si>
  <si>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</si>
  <si>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</si>
  <si>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</si>
  <si>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</si>
  <si>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</si>
  <si>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</si>
  <si>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</si>
  <si>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</si>
  <si>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</si>
  <si>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</si>
  <si>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</si>
  <si>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</si>
  <si>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</si>
  <si>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</si>
  <si>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</si>
  <si>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</si>
  <si>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</si>
  <si>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</si>
  <si>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</si>
  <si>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</si>
  <si>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</si>
  <si>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</si>
  <si>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</si>
  <si>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</si>
  <si>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</si>
  <si>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</si>
  <si>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</si>
  <si>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</si>
  <si>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</si>
  <si>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</si>
  <si>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</si>
  <si>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</si>
  <si>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</si>
  <si>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</si>
  <si>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</si>
  <si>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</si>
  <si>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</si>
  <si>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</si>
  <si>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</si>
  <si>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</si>
  <si>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</si>
  <si>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</si>
  <si>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</si>
  <si>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</si>
  <si>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</si>
  <si>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</si>
  <si>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</si>
  <si>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</si>
  <si>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</si>
  <si>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</si>
  <si>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</si>
  <si>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</si>
  <si>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</si>
  <si>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</si>
  <si>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</si>
  <si>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</si>
  <si>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</si>
  <si>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</si>
  <si>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</si>
  <si>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</si>
  <si>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</si>
  <si>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</si>
  <si>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</si>
  <si>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</si>
  <si>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</si>
  <si>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</si>
  <si>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</si>
  <si>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</si>
  <si>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</si>
  <si>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</si>
  <si>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</si>
  <si>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</si>
  <si>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</si>
  <si>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</si>
  <si>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</si>
  <si>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</si>
  <si>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</si>
  <si>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</si>
  <si>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</si>
  <si>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</si>
  <si>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</si>
  <si>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</si>
  <si>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</si>
  <si>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</si>
  <si>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</si>
  <si>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</si>
  <si>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</si>
  <si>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</si>
  <si>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</si>
  <si>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</si>
  <si>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</si>
  <si>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</si>
  <si>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</si>
  <si>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</si>
  <si>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</si>
  <si>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</si>
  <si>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</si>
  <si>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</si>
  <si>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</si>
  <si>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</si>
  <si>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</si>
  <si>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</si>
  <si>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</si>
  <si>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</si>
  <si>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</si>
  <si>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</si>
  <si>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</si>
  <si>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</si>
  <si>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</si>
  <si>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</si>
  <si>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</si>
  <si>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</si>
  <si>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</si>
  <si>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</si>
  <si>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</si>
  <si>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</si>
  <si>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</si>
  <si>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</si>
  <si>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</si>
  <si>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</si>
  <si>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</si>
  <si>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</si>
  <si>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</si>
  <si>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</si>
  <si>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</si>
  <si>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</si>
  <si>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</si>
  <si>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</si>
  <si>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</si>
  <si>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</si>
  <si>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</si>
  <si>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</si>
  <si>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</si>
  <si>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</si>
  <si>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</si>
  <si>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</si>
  <si>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</si>
  <si>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</si>
  <si>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</si>
  <si>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</si>
  <si>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</si>
  <si>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</si>
  <si>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</si>
  <si>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</si>
  <si>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</si>
  <si>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</si>
  <si>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</si>
  <si>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</si>
  <si>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</si>
  <si>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</si>
  <si>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</si>
  <si>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</si>
  <si>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</si>
  <si>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</si>
  <si>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</si>
  <si>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</si>
  <si>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</si>
  <si>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</si>
  <si>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</si>
  <si>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</si>
  <si>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</si>
  <si>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</si>
  <si>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</si>
  <si>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</si>
  <si>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</si>
  <si>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</si>
  <si>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</si>
  <si>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</si>
  <si>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</si>
  <si>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</si>
  <si>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</si>
  <si>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</si>
  <si>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</si>
  <si>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</si>
  <si>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</si>
  <si>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</si>
  <si>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</si>
  <si>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</si>
  <si>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</si>
  <si>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</si>
  <si>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</si>
  <si>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</si>
  <si>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</si>
  <si>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</si>
  <si>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</si>
  <si>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</si>
  <si>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</si>
  <si>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</si>
  <si>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</si>
  <si>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</si>
  <si>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</si>
  <si>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</si>
  <si>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</si>
  <si>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</si>
  <si>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</si>
  <si>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</si>
  <si>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</si>
  <si>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</si>
  <si>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</si>
  <si>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</si>
  <si>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</si>
  <si>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</si>
  <si>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</si>
  <si>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</si>
  <si>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</si>
  <si>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</si>
  <si>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</si>
  <si>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</si>
  <si>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</si>
  <si>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</si>
  <si>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</si>
  <si>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</si>
  <si>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</si>
  <si>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</si>
  <si>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</si>
  <si>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</si>
  <si>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</si>
  <si>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</si>
  <si>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</si>
  <si>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</si>
  <si>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</si>
  <si>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</si>
  <si>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</si>
  <si>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</si>
  <si>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</si>
  <si>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</si>
  <si>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</si>
  <si>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</si>
  <si>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</si>
  <si>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</si>
  <si>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</si>
  <si>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</si>
  <si>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</si>
  <si>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</si>
  <si>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</si>
  <si>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</si>
  <si>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</si>
  <si>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</si>
  <si>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</si>
  <si>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</si>
  <si>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</si>
  <si>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</si>
  <si>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</si>
  <si>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</si>
  <si>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</si>
  <si>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</si>
  <si>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</si>
  <si>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</si>
  <si>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</si>
  <si>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</si>
  <si>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</si>
  <si>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</si>
  <si>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</si>
  <si>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</si>
  <si>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</si>
  <si>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</si>
  <si>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</si>
  <si>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</si>
  <si>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</si>
  <si>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</si>
  <si>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</si>
  <si>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</si>
  <si>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</si>
  <si>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</si>
  <si>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</si>
  <si>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</si>
  <si>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</si>
  <si>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</si>
  <si>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</si>
  <si>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</si>
  <si>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</si>
  <si>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</si>
  <si>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</si>
  <si>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</si>
  <si>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</si>
  <si>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</si>
  <si>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</si>
  <si>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</si>
  <si>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</si>
  <si>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</si>
  <si>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</si>
  <si>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</si>
  <si>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</si>
  <si>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</si>
  <si>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</si>
  <si>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</si>
  <si>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</si>
  <si>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</si>
  <si>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</si>
  <si>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</si>
  <si>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</si>
  <si>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</si>
  <si>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</si>
  <si>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</si>
  <si>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</si>
  <si>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</si>
  <si>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</si>
  <si>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</si>
  <si>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</si>
  <si>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</si>
  <si>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</si>
  <si>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</si>
  <si>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</si>
  <si>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</si>
  <si>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</si>
  <si>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</si>
  <si>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</si>
  <si>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</si>
  <si>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</si>
  <si>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</si>
  <si>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</si>
  <si>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</si>
  <si>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</si>
  <si>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</si>
  <si>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</si>
  <si>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</si>
  <si>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</si>
  <si>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</si>
  <si>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</si>
  <si>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</si>
  <si>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</si>
  <si>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</si>
  <si>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</si>
  <si>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</si>
  <si>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</si>
  <si>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</si>
  <si>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</si>
  <si>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</si>
  <si>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</si>
  <si>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</si>
  <si>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</si>
  <si>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</si>
  <si>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</si>
  <si>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</si>
  <si>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</si>
  <si>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</si>
  <si>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</si>
  <si>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</si>
  <si>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</si>
  <si>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</si>
  <si>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</si>
  <si>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</si>
  <si>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</si>
  <si>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</si>
  <si>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</si>
  <si>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</si>
  <si>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</si>
  <si>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</si>
  <si>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</si>
  <si>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</si>
  <si>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</si>
  <si>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</si>
  <si>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</si>
  <si>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</si>
  <si>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</si>
  <si>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</si>
  <si>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</si>
  <si>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</si>
  <si>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</si>
  <si>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</si>
  <si>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</si>
  <si>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</si>
  <si>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</si>
  <si>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</si>
  <si>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</si>
  <si>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</si>
  <si>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</si>
  <si>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</si>
  <si>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</si>
  <si>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</si>
  <si>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</si>
  <si>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</si>
  <si>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</si>
  <si>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</si>
  <si>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</si>
  <si>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</si>
  <si>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</si>
  <si>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</si>
  <si>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</si>
  <si>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</si>
  <si>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</si>
  <si>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</si>
  <si>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</si>
  <si>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</si>
  <si>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</si>
  <si>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</si>
  <si>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</si>
  <si>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</si>
  <si>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</si>
  <si>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</si>
  <si>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</si>
  <si>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</si>
  <si>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</si>
  <si>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</si>
  <si>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</si>
  <si>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</si>
  <si>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</si>
  <si>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</si>
  <si>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</si>
  <si>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</si>
  <si>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</si>
  <si>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</si>
  <si>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</si>
  <si>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</si>
  <si>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</si>
  <si>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</si>
  <si>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</si>
  <si>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</si>
  <si>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</si>
  <si>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</si>
  <si>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</si>
  <si>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</si>
  <si>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</si>
  <si>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</si>
  <si>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</si>
  <si>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</si>
  <si>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</si>
  <si>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</si>
  <si>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</si>
  <si>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</si>
  <si>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</si>
  <si>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</si>
  <si>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</si>
  <si>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</si>
  <si>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</si>
  <si>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</si>
  <si>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</si>
  <si>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</si>
  <si>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</si>
  <si>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</si>
  <si>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</si>
  <si>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</si>
  <si>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</si>
  <si>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</si>
  <si>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</si>
  <si>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</si>
  <si>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</si>
  <si>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</si>
  <si>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</si>
  <si>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</si>
  <si>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</si>
  <si>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</si>
  <si>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</si>
  <si>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</si>
  <si>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</si>
  <si>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</si>
  <si>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</si>
  <si>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</si>
  <si>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</si>
  <si>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</si>
  <si>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</si>
  <si>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</si>
  <si>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</si>
  <si>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</si>
  <si>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</si>
  <si>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</si>
  <si>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</si>
  <si>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</si>
  <si>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</si>
  <si>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</si>
  <si>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</si>
  <si>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</si>
  <si>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</si>
  <si>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</si>
  <si>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</si>
  <si>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</si>
  <si>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</si>
  <si>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</si>
  <si>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</si>
  <si>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</si>
  <si>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</si>
  <si>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</si>
  <si>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</si>
  <si>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</si>
  <si>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</si>
  <si>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</si>
  <si>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</si>
  <si>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</si>
  <si>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</si>
  <si>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</si>
  <si>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</si>
  <si>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</si>
  <si>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</si>
  <si>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</si>
  <si>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</si>
  <si>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</si>
  <si>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</si>
  <si>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</si>
  <si>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</si>
  <si>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</si>
  <si>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</si>
  <si>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</si>
  <si>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</si>
  <si>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</si>
  <si>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</si>
  <si>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</si>
  <si>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</si>
  <si>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</si>
  <si>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</si>
  <si>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</si>
  <si>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</si>
  <si>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</si>
  <si>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</si>
  <si>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</si>
  <si>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</si>
  <si>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</si>
  <si>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</si>
  <si>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</si>
  <si>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</si>
  <si>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</si>
  <si>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</si>
  <si>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</si>
  <si>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</si>
  <si>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</si>
  <si>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</si>
  <si>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</si>
  <si>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</si>
  <si>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</si>
  <si>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</si>
  <si>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</si>
  <si>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</si>
  <si>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</si>
  <si>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</si>
  <si>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</si>
  <si>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</si>
  <si>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</si>
  <si>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</si>
  <si>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</si>
  <si>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</si>
  <si>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</si>
  <si>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</si>
  <si>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</si>
  <si>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</si>
  <si>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</si>
  <si>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</si>
  <si>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</si>
  <si>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</si>
  <si>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</si>
  <si>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</si>
  <si>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</si>
  <si>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</si>
  <si>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</si>
  <si>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</si>
  <si>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</si>
  <si>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</si>
  <si>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</si>
  <si>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</si>
  <si>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</si>
  <si>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</si>
  <si>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</si>
  <si>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</si>
  <si>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</si>
  <si>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</si>
  <si>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</si>
  <si>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</si>
  <si>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</si>
  <si>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</si>
  <si>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</si>
  <si>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</si>
  <si>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</si>
  <si>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</si>
  <si>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</si>
  <si>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</si>
  <si>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</si>
  <si>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</si>
  <si>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</si>
  <si>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</si>
  <si>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</si>
  <si>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</si>
  <si>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</si>
  <si>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</si>
  <si>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</si>
  <si>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</si>
  <si>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</si>
  <si>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</si>
  <si>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</si>
  <si>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</si>
  <si>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</si>
  <si>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</si>
  <si>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</si>
  <si>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</si>
  <si>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</si>
  <si>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</si>
  <si>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</si>
  <si>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</si>
  <si>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</si>
  <si>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</si>
  <si>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</si>
  <si>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</si>
  <si>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</si>
  <si>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</si>
  <si>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</si>
  <si>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</si>
  <si>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</si>
  <si>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</si>
  <si>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</si>
  <si>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</si>
  <si>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</si>
  <si>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</si>
  <si>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</si>
  <si>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</si>
  <si>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</si>
  <si>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</si>
  <si>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</si>
  <si>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</si>
  <si>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</si>
  <si>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</si>
  <si>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</si>
  <si>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</si>
  <si>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</si>
  <si>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</si>
  <si>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</si>
  <si>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</si>
  <si>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</si>
  <si>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</si>
  <si>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</si>
  <si>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</si>
  <si>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</si>
  <si>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</si>
  <si>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</si>
  <si>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</si>
  <si>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</si>
  <si>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</si>
  <si>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</si>
  <si>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</si>
  <si>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</si>
  <si>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</si>
  <si>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</si>
  <si>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</si>
  <si>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</si>
  <si>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</si>
  <si>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</si>
  <si>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</si>
  <si>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</si>
  <si>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</si>
  <si>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</si>
  <si>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</si>
  <si>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</si>
  <si>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</si>
  <si>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</si>
  <si>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</si>
  <si>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</si>
  <si>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</si>
  <si>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</si>
  <si>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</si>
  <si>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</si>
  <si>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</si>
  <si>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</si>
  <si>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</si>
  <si>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</si>
  <si>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</si>
  <si>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</si>
  <si>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</si>
  <si>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</si>
  <si>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</si>
  <si>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</si>
  <si>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</si>
  <si>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</si>
  <si>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</si>
  <si>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</si>
  <si>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</si>
  <si>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</si>
  <si>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</si>
  <si>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</si>
  <si>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</si>
  <si>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</si>
  <si>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</si>
  <si>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</si>
  <si>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</si>
  <si>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</si>
  <si>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</si>
  <si>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</si>
  <si>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</si>
  <si>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</si>
  <si>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</si>
  <si>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</si>
  <si>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</si>
  <si>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</si>
  <si>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</si>
  <si>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</si>
  <si>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</si>
  <si>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</si>
  <si>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</si>
  <si>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</si>
  <si>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</si>
  <si>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</si>
  <si>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</si>
  <si>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</si>
  <si>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</si>
  <si>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</si>
  <si>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</si>
  <si>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</si>
  <si>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</si>
  <si>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</si>
  <si>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</si>
  <si>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</si>
  <si>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</si>
  <si>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</si>
  <si>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</si>
  <si>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</si>
  <si>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</si>
  <si>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</si>
  <si>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</si>
  <si>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</si>
  <si>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</si>
  <si>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</si>
  <si>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</si>
  <si>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</si>
  <si>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</si>
  <si>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</si>
  <si>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</si>
  <si>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</si>
  <si>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</si>
  <si>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</si>
  <si>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</si>
  <si>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</si>
  <si>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</si>
  <si>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</si>
  <si>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</si>
  <si>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</si>
  <si>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</si>
  <si>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</si>
  <si>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</si>
  <si>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</si>
  <si>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</si>
  <si>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</si>
  <si>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</si>
  <si>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</si>
  <si>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</si>
  <si>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</si>
  <si>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</si>
  <si>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</si>
  <si>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</si>
  <si>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</si>
  <si>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</si>
  <si>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</si>
  <si>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</si>
  <si>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</si>
  <si>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</si>
  <si>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</si>
  <si>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</si>
  <si>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</si>
  <si>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</si>
  <si>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</si>
  <si>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</si>
  <si>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</si>
  <si>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</si>
  <si>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</si>
  <si>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</si>
  <si>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</si>
  <si>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</si>
  <si>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</si>
  <si>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</si>
  <si>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</si>
  <si>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</si>
  <si>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</si>
  <si>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</si>
  <si>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</si>
  <si>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</si>
  <si>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</si>
  <si>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</si>
  <si>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</si>
  <si>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</si>
  <si>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</si>
  <si>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</si>
  <si>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</si>
  <si>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</si>
  <si>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</si>
  <si>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</si>
  <si>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</si>
  <si>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</si>
  <si>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</si>
  <si>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</si>
  <si>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</si>
  <si>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</si>
  <si>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</si>
  <si>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</si>
  <si>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</si>
  <si>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</si>
  <si>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</si>
  <si>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</si>
  <si>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</si>
  <si>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</si>
  <si>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</si>
  <si>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</si>
  <si>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</si>
  <si>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</si>
  <si>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</si>
  <si>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</si>
  <si>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</si>
  <si>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</si>
  <si>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</si>
  <si>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</si>
  <si>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</si>
  <si>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</si>
  <si>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</si>
  <si>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</si>
  <si>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</si>
  <si>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</si>
  <si>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</si>
  <si>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</si>
  <si>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</si>
  <si>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</si>
  <si>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</si>
  <si>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</si>
  <si>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</si>
  <si>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</si>
  <si>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</si>
  <si>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</si>
  <si>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</si>
  <si>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</si>
  <si>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</si>
  <si>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</si>
  <si>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</si>
  <si>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</si>
  <si>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</si>
  <si>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</si>
  <si>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</si>
  <si>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</si>
  <si>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</si>
  <si>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</si>
  <si>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</si>
  <si>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</si>
  <si>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</si>
  <si>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</si>
  <si>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</si>
  <si>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</si>
  <si>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</si>
  <si>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</si>
  <si>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</si>
  <si>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</si>
  <si>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</si>
  <si>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</si>
  <si>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</si>
  <si>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</si>
  <si>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</si>
  <si>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</si>
  <si>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</si>
  <si>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</si>
  <si>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</si>
  <si>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</si>
  <si>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</si>
  <si>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</si>
  <si>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</si>
  <si>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</si>
  <si>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</si>
  <si>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</si>
  <si>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</si>
  <si>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</si>
  <si>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</si>
  <si>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</si>
  <si>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</si>
  <si>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</si>
  <si>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</si>
  <si>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</si>
  <si>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</si>
  <si>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</si>
  <si>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</si>
  <si>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</si>
  <si>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</si>
  <si>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</si>
  <si>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</si>
  <si>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</si>
  <si>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</si>
  <si>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</si>
  <si>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</si>
  <si>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</si>
  <si>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</si>
  <si>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</si>
  <si>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</si>
  <si>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</si>
  <si>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</si>
  <si>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</si>
  <si>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</si>
  <si>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</si>
  <si>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</si>
  <si>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</si>
  <si>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</si>
  <si>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</si>
  <si>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</si>
  <si>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</si>
  <si>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</si>
  <si>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</si>
  <si>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</si>
  <si>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</si>
  <si>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</si>
  <si>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</si>
  <si>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</si>
  <si>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</si>
  <si>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</si>
  <si>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</si>
  <si>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</si>
  <si>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</si>
  <si>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</si>
  <si>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</si>
  <si>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</si>
  <si>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</si>
  <si>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</si>
  <si>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</si>
  <si>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</si>
  <si>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</si>
  <si>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</si>
  <si>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</si>
  <si>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</si>
  <si>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</si>
  <si>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</si>
  <si>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</si>
  <si>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</si>
  <si>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</si>
  <si>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</si>
  <si>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</si>
  <si>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</si>
  <si>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</si>
  <si>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</si>
  <si>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</si>
  <si>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</si>
  <si>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</si>
  <si>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</si>
  <si>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</si>
  <si>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</si>
  <si>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</si>
  <si>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</si>
  <si>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</si>
  <si>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</si>
  <si>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</si>
  <si>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</si>
  <si>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</si>
  <si>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</si>
  <si>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</si>
  <si>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</si>
  <si>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</si>
  <si>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</si>
  <si>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</si>
  <si>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</si>
  <si>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</si>
  <si>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</si>
  <si>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</si>
  <si>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</si>
  <si>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</si>
  <si>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</si>
  <si>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</si>
  <si>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</si>
  <si>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</si>
  <si>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</si>
  <si>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</si>
  <si>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</si>
  <si>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</si>
  <si>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</si>
  <si>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</si>
  <si>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</si>
  <si>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</si>
  <si>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</si>
  <si>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</si>
  <si>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</si>
  <si>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</si>
  <si>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</si>
  <si>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</si>
  <si>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</si>
  <si>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</si>
  <si>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</si>
  <si>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</si>
  <si>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</si>
  <si>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</si>
  <si>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</si>
  <si>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</si>
  <si>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</si>
  <si>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</si>
  <si>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</si>
  <si>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</si>
  <si>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</si>
  <si>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</si>
  <si>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</si>
  <si>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</si>
  <si>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</si>
  <si>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</si>
  <si>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</si>
  <si>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</si>
  <si>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</si>
  <si>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</si>
  <si>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</si>
  <si>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</si>
  <si>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</si>
  <si>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</si>
  <si>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</si>
  <si>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</si>
  <si>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</si>
  <si>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</si>
  <si>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</si>
  <si>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</si>
  <si>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</si>
  <si>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</si>
  <si>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</si>
  <si>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</si>
  <si>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</si>
  <si>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</si>
  <si>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</si>
  <si>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</si>
  <si>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</si>
  <si>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</si>
  <si>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</si>
  <si>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</si>
  <si>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</si>
  <si>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</si>
  <si>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</si>
  <si>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</si>
  <si>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</si>
  <si>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</si>
  <si>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</si>
  <si>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</si>
  <si>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</si>
  <si>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</si>
  <si>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</si>
  <si>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</si>
  <si>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</si>
  <si>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</si>
  <si>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</si>
  <si>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</si>
  <si>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</si>
  <si>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</si>
  <si>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</si>
  <si>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</si>
  <si>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</si>
  <si>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</si>
  <si>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</si>
  <si>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</si>
  <si>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</si>
  <si>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</si>
  <si>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</si>
  <si>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</si>
  <si>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</si>
  <si>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</si>
  <si>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</si>
  <si>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</si>
  <si>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</si>
  <si>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</si>
  <si>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</si>
  <si>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</si>
  <si>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</si>
  <si>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</si>
  <si>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</si>
  <si>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</si>
  <si>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</si>
  <si>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</si>
  <si>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</si>
  <si>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</si>
  <si>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</si>
  <si>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</si>
  <si>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</si>
  <si>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</si>
  <si>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</si>
  <si>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</si>
  <si>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</si>
  <si>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</si>
  <si>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</si>
  <si>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</si>
  <si>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</si>
  <si>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</si>
  <si>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</si>
  <si>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</si>
  <si>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</si>
  <si>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</si>
  <si>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</si>
  <si>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</si>
  <si>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</si>
  <si>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</si>
  <si>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</si>
  <si>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</si>
  <si>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</si>
  <si>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</si>
  <si>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</si>
  <si>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</si>
  <si>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</si>
  <si>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</si>
  <si>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</si>
  <si>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</si>
  <si>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</si>
  <si>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</si>
  <si>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</si>
  <si>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</si>
  <si>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</si>
  <si>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</si>
  <si>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</si>
  <si>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</si>
  <si>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</si>
  <si>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</si>
  <si>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</si>
  <si>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</si>
  <si>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</si>
  <si>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</si>
  <si>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</si>
  <si>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</si>
  <si>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</si>
  <si>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</si>
  <si>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</si>
  <si>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</si>
  <si>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</si>
  <si>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</si>
  <si>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</si>
  <si>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</si>
  <si>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</si>
  <si>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</si>
  <si>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</si>
  <si>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</si>
  <si>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</si>
  <si>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</si>
  <si>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</si>
  <si>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</si>
  <si>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</si>
  <si>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</si>
  <si>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</si>
  <si>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</si>
  <si>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</si>
  <si>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</si>
  <si>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</si>
  <si>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</si>
  <si>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</si>
  <si>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</si>
  <si>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</si>
  <si>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</si>
  <si>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</si>
  <si>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</si>
  <si>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</si>
  <si>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</si>
  <si>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</si>
  <si>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</si>
  <si>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</si>
  <si>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</si>
  <si>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</si>
  <si>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</si>
  <si>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</si>
  <si>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</si>
  <si>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</si>
  <si>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</si>
  <si>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</si>
  <si>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</si>
  <si>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</si>
  <si>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</si>
  <si>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</si>
  <si>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</si>
  <si>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</si>
  <si>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</si>
  <si>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</si>
  <si>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</si>
  <si>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</si>
  <si>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</si>
  <si>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</si>
  <si>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</si>
  <si>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</si>
  <si>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</si>
  <si>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</si>
  <si>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</si>
  <si>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</si>
  <si>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</si>
  <si>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</si>
  <si>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</si>
  <si>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</si>
  <si>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</si>
  <si>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</si>
  <si>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</si>
  <si>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</si>
  <si>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</si>
  <si>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</si>
  <si>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</si>
  <si>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</si>
  <si>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</si>
  <si>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</si>
  <si>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</si>
  <si>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</si>
  <si>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</si>
  <si>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</si>
  <si>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</si>
  <si>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</si>
  <si>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</si>
  <si>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</si>
  <si>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</si>
  <si>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</si>
  <si>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</si>
  <si>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</si>
  <si>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</si>
  <si>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</si>
  <si>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</si>
  <si>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</si>
  <si>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</si>
  <si>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</si>
  <si>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</si>
  <si>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</si>
  <si>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</si>
  <si>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</si>
  <si>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</si>
  <si>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</si>
  <si>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</si>
  <si>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</si>
  <si>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</si>
  <si>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</si>
  <si>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</si>
  <si>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</si>
  <si>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</si>
  <si>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</si>
  <si>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</si>
  <si>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</si>
  <si>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</si>
  <si>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</si>
  <si>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</si>
  <si>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</si>
  <si>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</si>
  <si>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</si>
  <si>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</si>
  <si>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</si>
  <si>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</si>
  <si>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</si>
  <si>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</si>
  <si>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</si>
  <si>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</si>
  <si>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</si>
  <si>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</si>
  <si>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</si>
  <si>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</si>
  <si>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</si>
  <si>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</si>
  <si>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</si>
  <si>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</si>
  <si>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</si>
  <si>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</si>
  <si>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</si>
  <si>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</si>
  <si>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</si>
  <si>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</si>
  <si>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</si>
  <si>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</si>
  <si>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</si>
  <si>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</si>
  <si>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</si>
  <si>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</si>
  <si>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</si>
  <si>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</si>
  <si>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</si>
  <si>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</si>
  <si>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</si>
  <si>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</si>
  <si>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</si>
  <si>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</si>
  <si>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</si>
  <si>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</si>
  <si>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</si>
  <si>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</si>
  <si>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</si>
  <si>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</si>
  <si>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</si>
  <si>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</si>
  <si>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</si>
  <si>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</si>
  <si>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</si>
  <si>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</si>
  <si>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</si>
  <si>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</si>
  <si>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</si>
  <si>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</si>
  <si>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</si>
  <si>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</si>
  <si>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</si>
  <si>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</si>
  <si>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</si>
  <si>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</si>
  <si>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</si>
  <si>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</si>
  <si>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</si>
  <si>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</si>
  <si>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</si>
  <si>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</si>
  <si>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</si>
  <si>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</si>
  <si>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</si>
  <si>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</si>
  <si>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</si>
  <si>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</si>
  <si>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</si>
  <si>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</si>
  <si>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</si>
  <si>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</si>
  <si>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</si>
  <si>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</si>
  <si>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</si>
  <si>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</si>
  <si>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</si>
  <si>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</si>
  <si>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</si>
  <si>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</si>
  <si>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</si>
  <si>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</si>
  <si>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</si>
  <si>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</si>
  <si>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</si>
  <si>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</si>
  <si>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</si>
  <si>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</si>
  <si>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</si>
  <si>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</si>
  <si>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</si>
  <si>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</si>
  <si>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</si>
  <si>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</si>
  <si>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</si>
  <si>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</si>
  <si>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</si>
  <si>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</si>
  <si>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</si>
  <si>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</si>
  <si>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</si>
  <si>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</si>
  <si>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</si>
  <si>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</si>
  <si>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</si>
  <si>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</si>
  <si>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</si>
  <si>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</si>
  <si>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</si>
  <si>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</si>
  <si>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</si>
  <si>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</si>
  <si>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</si>
  <si>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</si>
  <si>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</si>
  <si>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</si>
  <si>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</si>
  <si>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</si>
  <si>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</si>
  <si>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</si>
  <si>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</si>
  <si>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</si>
  <si>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</si>
  <si>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</si>
  <si>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</si>
  <si>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</si>
  <si>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</si>
  <si>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</si>
  <si>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</si>
  <si>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</si>
  <si>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</si>
  <si>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</si>
  <si>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</si>
  <si>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</si>
  <si>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</si>
  <si>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</si>
  <si>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</si>
  <si>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</si>
  <si>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</si>
  <si>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</si>
  <si>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</si>
  <si>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</si>
  <si>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</si>
  <si>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</si>
  <si>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</si>
  <si>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</si>
  <si>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</si>
  <si>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</si>
  <si>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</si>
  <si>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</si>
  <si>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</si>
  <si>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</si>
  <si>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</si>
  <si>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</si>
  <si>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</si>
  <si>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</si>
  <si>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</si>
  <si>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</si>
  <si>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</si>
  <si>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</si>
  <si>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</si>
  <si>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</si>
  <si>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</si>
  <si>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</si>
  <si>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</si>
  <si>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</si>
  <si>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</si>
  <si>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</si>
  <si>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</si>
  <si>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</si>
  <si>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</si>
  <si>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</si>
  <si>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</si>
  <si>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</si>
  <si>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</si>
  <si>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</si>
  <si>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</si>
  <si>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</si>
  <si>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</si>
  <si>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</si>
  <si>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</si>
  <si>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</si>
  <si>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</si>
  <si>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</si>
  <si>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</si>
  <si>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</si>
  <si>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</si>
  <si>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</si>
  <si>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</si>
  <si>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</si>
  <si>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</si>
  <si>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</si>
  <si>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</si>
  <si>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</si>
  <si>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</si>
  <si>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</si>
  <si>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</si>
  <si>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</si>
  <si>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</si>
  <si>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</si>
  <si>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</si>
  <si>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</si>
  <si>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</si>
  <si>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</si>
  <si>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</si>
  <si>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</si>
  <si>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</si>
  <si>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</si>
  <si>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</si>
  <si>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</si>
  <si>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</si>
  <si>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</si>
  <si>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</si>
  <si>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</si>
  <si>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</si>
  <si>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</si>
  <si>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</si>
  <si>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</si>
  <si>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</si>
  <si>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</si>
  <si>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</si>
  <si>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</si>
  <si>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</si>
  <si>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</si>
  <si>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</si>
  <si>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</si>
  <si>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</si>
  <si>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</si>
  <si>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</si>
  <si>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</si>
  <si>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</si>
  <si>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</si>
  <si>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</si>
  <si>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</si>
  <si>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</si>
  <si>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</si>
  <si>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</si>
  <si>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</si>
  <si>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</si>
  <si>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</si>
  <si>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</si>
  <si>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</si>
  <si>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</si>
  <si>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</si>
  <si>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</si>
  <si>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</si>
  <si>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</si>
  <si>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</si>
  <si>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</si>
  <si>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</si>
  <si>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</si>
  <si>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</si>
  <si>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</si>
  <si>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</si>
  <si>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</si>
  <si>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</si>
  <si>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</si>
  <si>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</si>
  <si>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</si>
  <si>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</si>
  <si>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</si>
  <si>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</si>
  <si>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</si>
  <si>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</si>
  <si>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</si>
  <si>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</si>
  <si>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</si>
  <si>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</si>
  <si>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</si>
  <si>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</si>
  <si>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</si>
  <si>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</si>
  <si>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</si>
  <si>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</si>
  <si>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</si>
  <si>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</si>
  <si>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</si>
  <si>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</si>
  <si>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</si>
  <si>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</si>
  <si>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</si>
  <si>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</si>
  <si>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</si>
  <si>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</si>
  <si>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</si>
  <si>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</si>
  <si>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</si>
  <si>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</si>
  <si>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</si>
  <si>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</si>
  <si>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</si>
  <si>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</si>
  <si>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</si>
  <si>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</si>
  <si>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</si>
  <si>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</si>
  <si>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</si>
  <si>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</si>
  <si>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</si>
  <si>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</si>
  <si>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</si>
  <si>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</si>
  <si>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</si>
  <si>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</si>
  <si>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</si>
  <si>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</si>
  <si>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</si>
  <si>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</si>
  <si>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</si>
  <si>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</si>
  <si>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</si>
  <si>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</si>
  <si>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</si>
  <si>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</si>
  <si>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</si>
  <si>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</si>
  <si>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</si>
  <si>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</si>
  <si>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</si>
  <si>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</si>
  <si>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</si>
  <si>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</si>
  <si>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</si>
  <si>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</si>
  <si>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</si>
  <si>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</si>
  <si>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</si>
  <si>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</si>
  <si>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</si>
  <si>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</si>
  <si>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</si>
  <si>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</si>
  <si>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</si>
  <si>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</si>
  <si>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</si>
  <si>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</si>
  <si>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</si>
  <si>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</si>
  <si>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</si>
  <si>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</si>
  <si>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</si>
  <si>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</si>
  <si>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</si>
  <si>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</si>
  <si>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</si>
  <si>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</si>
  <si>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</si>
  <si>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</si>
  <si>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</si>
  <si>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</si>
  <si>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</si>
  <si>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</si>
  <si>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</si>
  <si>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</si>
  <si>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</si>
  <si>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</si>
  <si>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</si>
  <si>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</si>
  <si>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</si>
  <si>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</si>
  <si>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</si>
  <si>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</si>
  <si>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</si>
  <si>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</si>
  <si>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</si>
  <si>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</si>
  <si>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</si>
  <si>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</si>
  <si>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</si>
  <si>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</si>
  <si>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</si>
  <si>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</si>
  <si>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</si>
  <si>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</si>
  <si>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</si>
  <si>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</si>
  <si>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</si>
  <si>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</si>
  <si>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</si>
  <si>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</si>
  <si>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</si>
  <si>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</si>
  <si>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</si>
  <si>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</si>
  <si>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</si>
  <si>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</si>
  <si>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</si>
  <si>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</si>
  <si>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</si>
  <si>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</si>
  <si>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</si>
  <si>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</si>
  <si>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</si>
  <si>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</si>
  <si>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</si>
  <si>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</si>
  <si>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</si>
  <si>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</si>
  <si>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</si>
  <si>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</si>
  <si>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</si>
  <si>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</si>
  <si>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</si>
  <si>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</si>
  <si>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</si>
  <si>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</si>
  <si>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</si>
  <si>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</si>
  <si>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</si>
  <si>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</si>
  <si>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</si>
  <si>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</si>
  <si>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</si>
  <si>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</si>
  <si>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</si>
  <si>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</si>
  <si>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</si>
  <si>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</si>
  <si>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</si>
  <si>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</si>
  <si>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</si>
  <si>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</si>
  <si>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</si>
  <si>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</si>
  <si>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</si>
  <si>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</si>
  <si>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</si>
  <si>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</si>
  <si>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</si>
  <si>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</si>
  <si>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</si>
  <si>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</si>
  <si>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</si>
  <si>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</si>
  <si>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</si>
  <si>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</si>
  <si>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</si>
  <si>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</si>
  <si>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</si>
  <si>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</si>
  <si>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</si>
  <si>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</si>
  <si>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</si>
  <si>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</si>
  <si>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</si>
  <si>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</si>
  <si>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</si>
  <si>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</si>
  <si>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</si>
  <si>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</si>
  <si>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</si>
  <si>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</si>
  <si>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</si>
  <si>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</si>
  <si>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</si>
  <si>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</si>
  <si>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</si>
  <si>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</si>
  <si>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</si>
  <si>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</si>
  <si>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</si>
  <si>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</si>
  <si>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</si>
  <si>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</si>
  <si>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</si>
  <si>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</si>
  <si>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</si>
  <si>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</si>
  <si>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</si>
  <si>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</si>
  <si>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</si>
  <si>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</si>
  <si>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</si>
  <si>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</si>
  <si>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</si>
  <si>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</si>
  <si>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</si>
  <si>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</si>
  <si>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</si>
  <si>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</si>
  <si>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</si>
  <si>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</si>
  <si>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</si>
  <si>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</si>
  <si>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</si>
  <si>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</si>
  <si>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</si>
  <si>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</si>
  <si>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</si>
  <si>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</si>
  <si>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</si>
  <si>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</si>
  <si>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</si>
  <si>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</si>
  <si>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</si>
  <si>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</si>
  <si>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</si>
  <si>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</si>
  <si>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</si>
  <si>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</si>
  <si>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</si>
  <si>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</si>
  <si>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</si>
  <si>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</si>
  <si>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</si>
  <si>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</si>
  <si>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</si>
  <si>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</si>
  <si>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</si>
  <si>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</si>
  <si>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</si>
  <si>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</si>
  <si>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</si>
  <si>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</si>
  <si>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</si>
  <si>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</si>
  <si>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</si>
  <si>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</si>
  <si>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</si>
  <si>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</si>
  <si>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</si>
  <si>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</si>
  <si>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</si>
  <si>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</si>
  <si>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</si>
  <si>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</si>
  <si>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</si>
  <si>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</si>
  <si>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</si>
  <si>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</si>
  <si>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</si>
  <si>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</si>
  <si>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</si>
  <si>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</si>
  <si>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</si>
  <si>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</si>
  <si>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</si>
  <si>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</si>
  <si>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</si>
  <si>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</si>
  <si>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</si>
  <si>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</si>
  <si>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</si>
  <si>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</si>
  <si>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</si>
  <si>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</si>
  <si>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</si>
  <si>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</si>
  <si>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</si>
  <si>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</si>
  <si>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</si>
  <si>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</si>
  <si>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</si>
  <si>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</si>
  <si>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</si>
  <si>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</si>
  <si>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</si>
  <si>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</si>
  <si>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</si>
  <si>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</si>
  <si>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</si>
  <si>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</si>
  <si>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</si>
  <si>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</si>
  <si>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</si>
  <si>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</si>
  <si>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</si>
  <si>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</si>
  <si>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</si>
  <si>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</si>
  <si>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</si>
  <si>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</si>
  <si>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</si>
  <si>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</si>
  <si>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</si>
  <si>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</si>
  <si>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</si>
  <si>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</si>
  <si>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</si>
  <si>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</si>
  <si>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</si>
  <si>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</si>
  <si>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</si>
  <si>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</si>
  <si>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</si>
  <si>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</si>
  <si>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</si>
  <si>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</si>
  <si>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</si>
  <si>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</si>
  <si>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</si>
  <si>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</si>
  <si>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</si>
  <si>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</si>
  <si>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</si>
  <si>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</si>
  <si>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</si>
  <si>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</si>
  <si>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</si>
  <si>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</si>
  <si>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</si>
  <si>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</si>
  <si>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</si>
  <si>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</si>
  <si>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</si>
  <si>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</si>
  <si>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</si>
  <si>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</si>
  <si>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</si>
  <si>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</si>
  <si>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</si>
  <si>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</si>
  <si>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</si>
  <si>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</si>
  <si>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</si>
  <si>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</si>
  <si>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</si>
  <si>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</si>
  <si>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</si>
  <si>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</si>
  <si>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</si>
  <si>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</si>
  <si>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</si>
  <si>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</si>
  <si>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</si>
  <si>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</si>
  <si>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</si>
  <si>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</si>
  <si>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</si>
  <si>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</si>
  <si>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</si>
  <si>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</si>
  <si>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</si>
  <si>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</si>
  <si>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</si>
  <si>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</si>
  <si>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</si>
  <si>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</si>
  <si>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</si>
  <si>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</si>
  <si>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</si>
  <si>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</si>
  <si>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</si>
  <si>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</si>
  <si>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</si>
  <si>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</si>
  <si>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</si>
  <si>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</si>
  <si>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</si>
  <si>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</si>
  <si>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</si>
  <si>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</si>
  <si>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</si>
  <si>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</si>
  <si>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</si>
  <si>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</si>
  <si>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</si>
  <si>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</si>
  <si>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</si>
  <si>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</si>
  <si>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</si>
  <si>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</si>
  <si>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</si>
  <si>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</si>
  <si>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</si>
  <si>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</si>
  <si>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</si>
  <si>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</si>
  <si>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</si>
  <si>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</si>
  <si>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</si>
  <si>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</si>
  <si>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</si>
  <si>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</si>
  <si>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</si>
  <si>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</si>
  <si>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</si>
  <si>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</si>
  <si>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</si>
  <si>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</si>
  <si>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</si>
  <si>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</si>
  <si>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</si>
  <si>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</si>
  <si>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</si>
  <si>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</si>
  <si>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</si>
  <si>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</si>
  <si>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</si>
  <si>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</si>
  <si>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</si>
  <si>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</si>
  <si>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</si>
  <si>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</si>
  <si>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</si>
  <si>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</si>
  <si>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</si>
  <si>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</si>
  <si>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</si>
  <si>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</si>
  <si>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</si>
  <si>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</si>
  <si>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</si>
  <si>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</si>
  <si>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</si>
  <si>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</si>
  <si>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</si>
  <si>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</si>
  <si>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</si>
  <si>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</si>
  <si>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</si>
  <si>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</si>
  <si>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</si>
  <si>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</si>
  <si>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</si>
  <si>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</si>
  <si>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</si>
  <si>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</si>
  <si>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</si>
  <si>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</si>
  <si>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</si>
  <si>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</si>
  <si>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</si>
  <si>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</si>
  <si>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</si>
  <si>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</si>
  <si>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</si>
  <si>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</si>
  <si>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</si>
  <si>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</si>
  <si>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</si>
  <si>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</si>
  <si>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</si>
  <si>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</si>
  <si>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</si>
  <si>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</si>
  <si>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</si>
  <si>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</si>
  <si>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</si>
  <si>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</si>
  <si>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</si>
  <si>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</si>
  <si>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</si>
  <si>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</si>
  <si>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</si>
  <si>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</si>
  <si>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</si>
  <si>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</si>
  <si>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</si>
  <si>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</si>
  <si>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</si>
  <si>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</si>
  <si>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</si>
  <si>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</si>
  <si>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</si>
  <si>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</si>
  <si>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</si>
  <si>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</si>
  <si>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</si>
  <si>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</si>
  <si>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</si>
  <si>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</si>
  <si>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</si>
  <si>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</si>
  <si>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</si>
  <si>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</si>
  <si>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</si>
  <si>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</si>
  <si>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</si>
  <si>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</si>
  <si>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</si>
  <si>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</si>
  <si>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</si>
  <si>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</si>
  <si>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</si>
  <si>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</si>
  <si>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</si>
  <si>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</si>
  <si>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</si>
  <si>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</si>
  <si>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</si>
  <si>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</si>
  <si>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</si>
  <si>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</si>
  <si>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</si>
  <si>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</si>
  <si>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</si>
  <si>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</si>
  <si>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</si>
  <si>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</si>
  <si>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</si>
  <si>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</si>
  <si>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</si>
  <si>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</si>
  <si>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</si>
  <si>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</si>
  <si>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</si>
  <si>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</si>
  <si>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</si>
  <si>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</si>
  <si>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</si>
  <si>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</si>
  <si>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</si>
  <si>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</si>
  <si>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</si>
  <si>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</si>
  <si>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</si>
  <si>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</si>
  <si>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</si>
  <si>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</si>
  <si>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</si>
  <si>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</si>
  <si>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</si>
  <si>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</si>
  <si>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</si>
  <si>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</si>
  <si>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</si>
  <si>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</si>
  <si>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</si>
  <si>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</si>
  <si>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</si>
  <si>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</si>
  <si>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</si>
  <si>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</si>
  <si>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</si>
  <si>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</si>
  <si>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</si>
  <si>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</si>
  <si>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</si>
  <si>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</si>
  <si>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</si>
  <si>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</si>
  <si>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</si>
  <si>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</si>
  <si>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</si>
  <si>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</si>
  <si>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</si>
  <si>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</si>
  <si>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</si>
  <si>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</si>
  <si>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</si>
  <si>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</si>
  <si>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</si>
  <si>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</si>
  <si>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</si>
  <si>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</si>
  <si>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</si>
  <si>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</si>
  <si>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</si>
  <si>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</si>
  <si>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</si>
  <si>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</si>
  <si>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</si>
  <si>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</si>
  <si>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</si>
  <si>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</si>
  <si>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</si>
  <si>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</si>
  <si>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</si>
  <si>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</si>
  <si>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</si>
  <si>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</si>
  <si>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</si>
  <si>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</si>
  <si>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</si>
  <si>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</si>
  <si>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</si>
  <si>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</si>
  <si>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</si>
  <si>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</si>
  <si>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</si>
  <si>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</si>
  <si>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</si>
  <si>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</si>
  <si>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</si>
  <si>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</si>
  <si>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</si>
  <si>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</si>
  <si>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</si>
  <si>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</si>
  <si>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</si>
  <si>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</si>
  <si>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</si>
  <si>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</si>
  <si>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</si>
  <si>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</si>
  <si>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</si>
  <si>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</si>
  <si>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</si>
  <si>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</si>
  <si>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</si>
  <si>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</si>
  <si>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</si>
  <si>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</si>
  <si>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</si>
  <si>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</si>
  <si>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</si>
  <si>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</si>
  <si>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</si>
  <si>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</si>
  <si>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</si>
  <si>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</si>
  <si>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</si>
  <si>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</si>
  <si>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</si>
  <si>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</si>
  <si>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</si>
  <si>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</si>
  <si>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</si>
  <si>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</si>
  <si>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</si>
  <si>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</si>
  <si>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</si>
  <si>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</si>
  <si>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</si>
  <si>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</si>
  <si>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</si>
  <si>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</si>
  <si>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</si>
  <si>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</si>
  <si>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</si>
  <si>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</si>
  <si>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</si>
  <si>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</si>
  <si>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</si>
  <si>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</si>
  <si>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</si>
  <si>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</si>
  <si>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</si>
  <si>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</si>
  <si>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</si>
  <si>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</si>
  <si>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</si>
  <si>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</si>
  <si>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</si>
  <si>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</si>
  <si>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</si>
  <si>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</si>
  <si>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</si>
  <si>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</si>
  <si>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</si>
  <si>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</si>
  <si>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</si>
  <si>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</si>
  <si>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</si>
  <si>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</si>
  <si>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</si>
  <si>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</si>
  <si>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</si>
  <si>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</si>
  <si>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</si>
  <si>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</si>
  <si>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</si>
  <si>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</si>
  <si>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</si>
  <si>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</si>
  <si>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</si>
  <si>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</si>
  <si>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</si>
  <si>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</si>
  <si>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</si>
  <si>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</si>
  <si>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</si>
  <si>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</si>
  <si>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</si>
  <si>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</si>
  <si>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</si>
  <si>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</si>
  <si>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</si>
  <si>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</si>
  <si>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</si>
  <si>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</si>
  <si>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</si>
  <si>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</si>
  <si>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</si>
  <si>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</si>
  <si>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</si>
  <si>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</si>
  <si>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</si>
  <si>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</si>
  <si>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</si>
  <si>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</si>
  <si>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</si>
  <si>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</si>
  <si>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</si>
  <si>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</si>
  <si>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</si>
  <si>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</si>
  <si>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</si>
  <si>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</si>
  <si>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</si>
  <si>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</si>
  <si>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</si>
  <si>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</si>
  <si>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</si>
  <si>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</si>
  <si>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</si>
  <si>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</si>
  <si>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</si>
  <si>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</si>
  <si>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</si>
  <si>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</si>
  <si>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</si>
  <si>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</si>
  <si>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</si>
  <si>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</si>
  <si>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</si>
  <si>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</si>
  <si>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</si>
  <si>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</si>
  <si>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</si>
  <si>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</si>
  <si>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</si>
  <si>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</si>
  <si>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</si>
  <si>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</si>
  <si>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</si>
  <si>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</si>
  <si>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</si>
  <si>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</si>
  <si>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</si>
  <si>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</si>
  <si>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</si>
  <si>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</si>
  <si>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</si>
  <si>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</si>
  <si>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</si>
  <si>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</si>
  <si>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</si>
  <si>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</si>
  <si>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</si>
  <si>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</si>
  <si>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</si>
  <si>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</si>
  <si>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</si>
  <si>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</si>
  <si>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</si>
  <si>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</si>
  <si>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</si>
  <si>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</si>
  <si>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</si>
  <si>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</si>
  <si>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</si>
  <si>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</si>
  <si>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</si>
  <si>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</si>
  <si>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</si>
  <si>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</si>
  <si>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</si>
  <si>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</si>
  <si>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</si>
  <si>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</si>
  <si>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</si>
  <si>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</si>
  <si>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</si>
  <si>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</si>
  <si>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</si>
  <si>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</si>
  <si>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</si>
  <si>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</si>
  <si>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</si>
  <si>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</si>
  <si>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</si>
  <si>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</si>
  <si>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</si>
  <si>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</si>
  <si>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</si>
  <si>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</si>
  <si>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</si>
  <si>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</si>
  <si>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</si>
  <si>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</si>
  <si>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</si>
  <si>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</si>
  <si>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</si>
  <si>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</si>
  <si>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</si>
  <si>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</si>
  <si>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</si>
  <si>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</si>
  <si>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</si>
  <si>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</si>
  <si>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</si>
  <si>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</si>
  <si>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</si>
  <si>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</si>
  <si>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</si>
  <si>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</si>
  <si>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</si>
  <si>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</si>
  <si>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</si>
  <si>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</si>
  <si>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</si>
  <si>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</si>
  <si>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</si>
  <si>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</si>
  <si>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</si>
  <si>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</si>
  <si>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</si>
  <si>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</si>
  <si>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</si>
  <si>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</si>
  <si>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</si>
  <si>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</si>
  <si>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</si>
  <si>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</si>
  <si>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</si>
  <si>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</si>
  <si>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</si>
  <si>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</si>
  <si>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</si>
  <si>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</si>
  <si>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</si>
  <si>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</si>
  <si>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</si>
  <si>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</si>
  <si>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</si>
  <si>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</si>
  <si>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</si>
  <si>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</si>
  <si>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</si>
  <si>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</si>
  <si>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</si>
  <si>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</si>
  <si>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</si>
  <si>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</si>
  <si>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</si>
  <si>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</si>
  <si>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</si>
  <si>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</si>
  <si>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</si>
  <si>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</si>
  <si>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</si>
  <si>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</si>
  <si>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</si>
  <si>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</si>
  <si>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</si>
  <si>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</si>
  <si>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</si>
  <si>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</si>
  <si>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</si>
  <si>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</si>
  <si>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</si>
  <si>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</si>
  <si>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</si>
  <si>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</si>
  <si>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</si>
  <si>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</si>
  <si>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</si>
  <si>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</si>
  <si>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</si>
  <si>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</si>
  <si>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</si>
  <si>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</si>
  <si>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</si>
  <si>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</si>
  <si>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</si>
  <si>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</si>
  <si>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</si>
  <si>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</si>
  <si>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</si>
  <si>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</si>
  <si>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</si>
  <si>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</si>
  <si>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</si>
  <si>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</si>
  <si>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</si>
  <si>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</si>
  <si>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</si>
  <si>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</si>
  <si>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</si>
  <si>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</si>
  <si>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</si>
  <si>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</si>
  <si>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</si>
  <si>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</si>
  <si>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</si>
  <si>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</si>
  <si>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</si>
  <si>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</si>
  <si>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</si>
  <si>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</si>
  <si>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</si>
  <si>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</si>
  <si>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</si>
  <si>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</si>
  <si>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</si>
  <si>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</si>
  <si>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</si>
  <si>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</si>
  <si>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</si>
  <si>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</si>
  <si>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</si>
  <si>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</si>
  <si>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</si>
  <si>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</si>
  <si>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</si>
  <si>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</si>
  <si>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</si>
  <si>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</si>
  <si>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</si>
  <si>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</si>
  <si>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</si>
  <si>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</si>
  <si>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</si>
  <si>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</si>
  <si>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</si>
  <si>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</si>
  <si>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</si>
  <si>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</si>
  <si>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</si>
  <si>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</si>
  <si>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</si>
  <si>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</si>
  <si>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</si>
  <si>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</si>
  <si>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</si>
  <si>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</si>
  <si>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</si>
  <si>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</si>
  <si>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</si>
  <si>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</si>
  <si>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</si>
  <si>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</si>
  <si>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</si>
  <si>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</si>
  <si>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</si>
  <si>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</si>
  <si>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</si>
  <si>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</si>
  <si>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</si>
  <si>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</si>
  <si>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</si>
  <si>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</si>
  <si>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</si>
  <si>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</si>
  <si>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</si>
  <si>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</si>
  <si>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</si>
  <si>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</si>
  <si>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</si>
  <si>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</si>
  <si>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</si>
  <si>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</si>
  <si>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</si>
  <si>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</si>
  <si>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</si>
  <si>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</si>
  <si>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</si>
  <si>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</si>
  <si>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</si>
  <si>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</si>
  <si>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</si>
  <si>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</si>
  <si>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</si>
  <si>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</si>
  <si>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</si>
  <si>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</si>
  <si>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</si>
  <si>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</si>
  <si>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</si>
  <si>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</si>
  <si>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</si>
  <si>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</si>
  <si>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</si>
  <si>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</si>
  <si>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</si>
  <si>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</si>
  <si>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</si>
  <si>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</si>
  <si>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</si>
  <si>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</si>
  <si>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</si>
  <si>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</si>
  <si>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</si>
  <si>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</si>
  <si>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</si>
  <si>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</si>
  <si>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</si>
  <si>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</si>
  <si>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</si>
  <si>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</si>
  <si>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</si>
  <si>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</si>
  <si>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</si>
  <si>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</si>
  <si>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</si>
  <si>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</si>
  <si>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</si>
  <si>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</si>
  <si>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</si>
  <si>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</si>
  <si>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</si>
  <si>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</si>
  <si>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</si>
  <si>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</si>
  <si>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</si>
  <si>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</si>
  <si>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</si>
  <si>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</si>
  <si>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</si>
  <si>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</si>
  <si>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</si>
  <si>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</si>
  <si>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</si>
  <si>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</si>
  <si>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</si>
  <si>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</si>
  <si>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</si>
  <si>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</si>
  <si>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</si>
  <si>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</si>
  <si>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</si>
  <si>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</si>
  <si>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</si>
  <si>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</si>
  <si>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</si>
  <si>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</si>
  <si>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</si>
  <si>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</si>
  <si>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</si>
  <si>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</si>
  <si>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</si>
  <si>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</si>
  <si>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</si>
  <si>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</si>
  <si>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</si>
  <si>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</si>
  <si>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</si>
  <si>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</si>
  <si>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</si>
  <si>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</si>
  <si>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</si>
  <si>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</si>
  <si>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</si>
  <si>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</si>
  <si>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</si>
  <si>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</si>
  <si>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</si>
  <si>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</si>
  <si>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</si>
  <si>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</si>
  <si>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</si>
  <si>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</si>
  <si>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</si>
  <si>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</si>
  <si>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</si>
  <si>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</si>
  <si>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</si>
  <si>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</si>
  <si>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</si>
  <si>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</si>
  <si>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</si>
  <si>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</si>
  <si>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</si>
  <si>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</si>
  <si>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</si>
  <si>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</si>
  <si>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</si>
  <si>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</si>
  <si>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</si>
  <si>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</si>
  <si>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</si>
  <si>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</si>
  <si>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</si>
  <si>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</si>
  <si>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</si>
  <si>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</si>
  <si>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</si>
  <si>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</si>
  <si>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</si>
  <si>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</si>
  <si>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</si>
  <si>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</si>
  <si>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</si>
  <si>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</si>
  <si>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</si>
  <si>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</si>
  <si>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</si>
  <si>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</si>
  <si>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</si>
  <si>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</si>
  <si>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</si>
  <si>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</si>
  <si>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</si>
  <si>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</si>
  <si>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</si>
  <si>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</si>
  <si>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</si>
  <si>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</si>
  <si>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</si>
  <si>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</si>
  <si>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</si>
  <si>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</si>
  <si>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</si>
  <si>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</si>
  <si>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</si>
  <si>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</si>
  <si>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</si>
  <si>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</si>
  <si>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</si>
  <si>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</si>
  <si>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</si>
  <si>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</si>
  <si>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</si>
  <si>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</si>
  <si>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</si>
  <si>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</si>
  <si>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</si>
  <si>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</si>
  <si>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</si>
  <si>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</si>
  <si>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</si>
  <si>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</si>
  <si>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</si>
  <si>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</si>
  <si>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</si>
  <si>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</si>
  <si>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</si>
  <si>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</si>
  <si>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</si>
  <si>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</si>
  <si>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</si>
  <si>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</si>
  <si>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</si>
  <si>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</si>
  <si>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</si>
  <si>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</si>
  <si>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</si>
  <si>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</si>
  <si>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</si>
  <si>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</si>
  <si>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</si>
  <si>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</si>
  <si>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</si>
  <si>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</si>
  <si>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</si>
  <si>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</si>
  <si>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</si>
  <si>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</si>
  <si>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</si>
  <si>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</si>
  <si>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</si>
  <si>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</si>
  <si>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</si>
  <si>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</si>
  <si>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</si>
  <si>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</si>
  <si>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</si>
  <si>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</si>
  <si>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</si>
  <si>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</si>
  <si>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</si>
  <si>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</si>
  <si>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</si>
  <si>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</si>
  <si>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</si>
  <si>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</si>
  <si>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</si>
  <si>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</si>
  <si>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</si>
  <si>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</si>
  <si>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</si>
  <si>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</si>
  <si>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</si>
  <si>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</si>
  <si>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</si>
  <si>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</si>
  <si>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</si>
  <si>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</si>
  <si>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</si>
  <si>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</si>
  <si>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</si>
  <si>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</si>
  <si>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</si>
  <si>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</si>
  <si>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</si>
  <si>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</si>
  <si>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</si>
  <si>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</si>
  <si>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</si>
  <si>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</si>
  <si>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</si>
  <si>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</si>
  <si>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</si>
  <si>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</si>
  <si>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</si>
  <si>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</si>
  <si>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</si>
  <si>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</si>
  <si>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</si>
  <si>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</si>
  <si>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</si>
  <si>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</si>
  <si>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</si>
  <si>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</si>
  <si>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</si>
  <si>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</si>
  <si>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</si>
  <si>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</si>
  <si>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</si>
  <si>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</si>
  <si>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</si>
  <si>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</si>
  <si>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</si>
  <si>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</si>
  <si>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</si>
  <si>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</si>
  <si>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</si>
  <si>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</si>
  <si>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</si>
  <si>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</si>
  <si>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</si>
  <si>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</si>
  <si>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</si>
  <si>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</si>
  <si>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</si>
  <si>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</si>
  <si>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</si>
  <si>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</si>
  <si>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</si>
  <si>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</si>
  <si>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</si>
  <si>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</si>
  <si>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</si>
  <si>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</si>
  <si>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</si>
  <si>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</si>
  <si>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</si>
  <si>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</si>
  <si>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</si>
  <si>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</si>
  <si>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</si>
  <si>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</si>
  <si>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</si>
  <si>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</si>
  <si>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</si>
  <si>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</si>
  <si>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</si>
  <si>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</si>
  <si>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</si>
  <si>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</si>
  <si>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</si>
  <si>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</si>
  <si>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</si>
  <si>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</si>
  <si>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</si>
  <si>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</si>
  <si>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</si>
  <si>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</si>
  <si>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</si>
  <si>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</si>
  <si>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</si>
  <si>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</si>
  <si>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</si>
  <si>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</si>
  <si>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</si>
  <si>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</si>
  <si>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</si>
  <si>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</si>
  <si>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</si>
  <si>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</si>
  <si>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</si>
  <si>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</si>
  <si>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</si>
  <si>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</si>
  <si>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</si>
  <si>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</si>
  <si>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</si>
  <si>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</si>
  <si>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</si>
  <si>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</si>
  <si>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</si>
  <si>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</si>
  <si>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</si>
  <si>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</si>
  <si>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</si>
  <si>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</si>
  <si>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</si>
  <si>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</si>
  <si>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</si>
  <si>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</si>
  <si>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</si>
  <si>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</si>
  <si>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</si>
  <si>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</si>
  <si>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</si>
  <si>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</si>
  <si>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</si>
  <si>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</si>
  <si>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</si>
  <si>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</si>
  <si>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</si>
  <si>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</si>
  <si>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</si>
  <si>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</si>
  <si>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</si>
  <si>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</si>
  <si>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</si>
  <si>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</si>
  <si>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</si>
  <si>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</si>
  <si>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</si>
  <si>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</si>
  <si>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</si>
  <si>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</si>
  <si>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</si>
  <si>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</si>
  <si>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</si>
  <si>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</si>
  <si>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</si>
  <si>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</si>
  <si>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</si>
  <si>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</si>
  <si>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</si>
  <si>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</si>
  <si>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</si>
  <si>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</si>
  <si>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</si>
  <si>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</si>
  <si>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</si>
  <si>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</si>
  <si>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</si>
  <si>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</si>
  <si>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</si>
  <si>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</si>
  <si>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</si>
  <si>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</si>
  <si>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</si>
  <si>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</si>
  <si>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</si>
  <si>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</si>
  <si>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</si>
  <si>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</si>
  <si>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</si>
  <si>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</si>
  <si>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</si>
  <si>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</si>
  <si>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</si>
  <si>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</si>
  <si>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</si>
  <si>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</si>
  <si>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</si>
  <si>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</si>
  <si>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</si>
  <si>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</si>
  <si>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</si>
  <si>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</si>
  <si>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</si>
  <si>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</si>
  <si>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</si>
  <si>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</si>
  <si>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</si>
  <si>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</si>
  <si>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</si>
  <si>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</si>
  <si>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</si>
  <si>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</si>
  <si>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</si>
  <si>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</si>
  <si>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</si>
  <si>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</si>
  <si>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</si>
  <si>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</si>
  <si>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</si>
  <si>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</si>
  <si>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</si>
  <si>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</si>
  <si>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</si>
  <si>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</si>
  <si>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</si>
  <si>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</si>
  <si>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</si>
  <si>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</si>
  <si>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</si>
  <si>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</si>
  <si>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</si>
  <si>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</si>
  <si>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</si>
  <si>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</si>
  <si>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</si>
  <si>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</si>
  <si>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</si>
  <si>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</si>
  <si>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</si>
  <si>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</si>
  <si>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</si>
  <si>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</si>
  <si>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</si>
  <si>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</si>
  <si>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</si>
  <si>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</si>
  <si>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</si>
  <si>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</si>
  <si>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</si>
  <si>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</si>
  <si>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</si>
  <si>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</si>
  <si>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</si>
  <si>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</si>
  <si>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</si>
  <si>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</si>
  <si>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</si>
  <si>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</si>
  <si>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</si>
  <si>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</si>
  <si>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</si>
  <si>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</si>
  <si>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</si>
  <si>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</si>
  <si>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</si>
  <si>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</si>
  <si>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</si>
  <si>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</si>
  <si>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</si>
  <si>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</si>
  <si>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</si>
  <si>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</si>
  <si>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</si>
  <si>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</si>
  <si>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</si>
  <si>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</si>
  <si>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</si>
  <si>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</si>
  <si>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</si>
  <si>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</si>
  <si>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</si>
  <si>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</si>
  <si>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</si>
  <si>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</si>
  <si>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</si>
  <si>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</si>
  <si>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</si>
  <si>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</si>
  <si>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</si>
  <si>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</si>
  <si>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</si>
  <si>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</si>
  <si>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</si>
  <si>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</si>
  <si>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</si>
  <si>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</si>
  <si>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</si>
  <si>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</si>
  <si>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</si>
  <si>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</si>
  <si>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</si>
  <si>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</si>
  <si>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</si>
  <si>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</si>
  <si>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</si>
  <si>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</si>
  <si>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</si>
  <si>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</si>
  <si>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</si>
  <si>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</si>
  <si>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</si>
  <si>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</si>
  <si>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</si>
  <si>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</si>
  <si>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</si>
  <si>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</si>
  <si>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</si>
  <si>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</si>
  <si>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</si>
  <si>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</si>
  <si>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</si>
  <si>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</si>
  <si>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</si>
  <si>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</si>
  <si>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</si>
  <si>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</si>
  <si>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</si>
  <si>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</si>
  <si>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</si>
  <si>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</si>
  <si>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</si>
  <si>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</si>
  <si>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</si>
  <si>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</si>
  <si>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</si>
  <si>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</si>
  <si>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</si>
  <si>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</si>
  <si>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</si>
  <si>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</si>
  <si>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</si>
  <si>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</si>
  <si>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</si>
  <si>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</si>
  <si>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</si>
  <si>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</si>
  <si>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</si>
  <si>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</si>
  <si>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</si>
  <si>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</si>
  <si>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</si>
  <si>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</si>
  <si>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</si>
  <si>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</si>
  <si>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</si>
  <si>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</si>
  <si>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</si>
  <si>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</si>
  <si>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</si>
  <si>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</si>
  <si>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</si>
  <si>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</si>
  <si>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</si>
  <si>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</si>
  <si>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</si>
  <si>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</si>
  <si>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</si>
  <si>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</si>
  <si>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</si>
  <si>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</si>
  <si>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</si>
  <si>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</si>
  <si>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</si>
  <si>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</si>
  <si>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</si>
  <si>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</si>
  <si>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</si>
  <si>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</si>
  <si>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</si>
  <si>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</si>
  <si>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</si>
  <si>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</si>
  <si>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</si>
  <si>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</si>
  <si>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</si>
  <si>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</si>
  <si>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</si>
  <si>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</si>
  <si>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</si>
  <si>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</si>
  <si>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</si>
  <si>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</si>
  <si>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</si>
  <si>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</si>
  <si>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</si>
  <si>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</si>
  <si>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</si>
  <si>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</si>
  <si>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</si>
  <si>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</si>
  <si>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</si>
  <si>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</si>
  <si>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</si>
  <si>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</si>
  <si>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</si>
  <si>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</si>
  <si>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</si>
  <si>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</si>
  <si>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</si>
  <si>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</si>
  <si>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</si>
  <si>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</si>
  <si>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</si>
  <si>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</si>
  <si>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</si>
  <si>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</si>
  <si>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</si>
  <si>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</si>
  <si>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</si>
  <si>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</si>
  <si>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</si>
  <si>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</si>
  <si>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</si>
  <si>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</si>
  <si>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</si>
  <si>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</si>
  <si>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</si>
  <si>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</si>
  <si>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</si>
  <si>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</si>
  <si>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</si>
  <si>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</si>
  <si>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</si>
  <si>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</si>
  <si>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</si>
  <si>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</si>
  <si>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</si>
  <si>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</si>
  <si>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</si>
  <si>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</si>
  <si>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</si>
  <si>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</si>
  <si>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</si>
  <si>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</si>
  <si>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</si>
  <si>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</si>
  <si>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</si>
  <si>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</si>
  <si>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</si>
  <si>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</si>
  <si>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</si>
  <si>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</si>
  <si>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</si>
  <si>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</si>
  <si>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</si>
  <si>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</si>
  <si>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</si>
  <si>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</si>
  <si>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</si>
  <si>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</si>
  <si>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</si>
  <si>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</si>
  <si>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</si>
  <si>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</si>
  <si>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</si>
  <si>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</si>
  <si>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</si>
  <si>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</si>
  <si>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</si>
  <si>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</si>
  <si>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</si>
  <si>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</si>
  <si>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</si>
  <si>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</si>
  <si>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</si>
  <si>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</si>
  <si>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</si>
  <si>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</si>
  <si>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</si>
  <si>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</si>
  <si>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</si>
  <si>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</si>
  <si>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</si>
  <si>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</si>
  <si>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</si>
  <si>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</si>
  <si>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</si>
  <si>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</si>
  <si>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</si>
  <si>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</si>
  <si>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</si>
  <si>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</si>
  <si>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</si>
  <si>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</si>
  <si>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</si>
  <si>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</si>
  <si>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</si>
  <si>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</si>
  <si>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</si>
  <si>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</si>
  <si>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</si>
  <si>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</si>
  <si>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</si>
  <si>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</si>
  <si>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</si>
  <si>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</si>
  <si>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</si>
  <si>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</si>
  <si>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</si>
  <si>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</si>
  <si>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</si>
  <si>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</si>
  <si>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</si>
  <si>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</si>
  <si>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</si>
  <si>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</si>
  <si>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</si>
  <si>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</si>
  <si>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</si>
  <si>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</si>
  <si>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</si>
  <si>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</si>
  <si>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</si>
  <si>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</si>
  <si>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</si>
  <si>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</si>
  <si>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</si>
  <si>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</si>
  <si>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</si>
  <si>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</si>
  <si>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</si>
  <si>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</si>
  <si>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</si>
  <si>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</si>
  <si>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</si>
  <si>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</si>
  <si>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</si>
  <si>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</si>
  <si>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</si>
  <si>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</si>
  <si>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</si>
  <si>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</si>
  <si>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</si>
  <si>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</si>
  <si>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</si>
  <si>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</si>
  <si>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</si>
  <si>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</si>
  <si>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</si>
  <si>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</si>
  <si>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</si>
  <si>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</si>
  <si>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</si>
  <si>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</si>
  <si>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</si>
  <si>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</si>
  <si>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</si>
  <si>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</si>
  <si>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</si>
  <si>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</si>
  <si>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</si>
  <si>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</si>
  <si>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</si>
  <si>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</si>
  <si>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</si>
  <si>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</si>
  <si>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</si>
  <si>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</si>
  <si>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</si>
  <si>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</si>
  <si>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</si>
  <si>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</si>
  <si>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</si>
  <si>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</si>
  <si>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</si>
  <si>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</si>
  <si>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</si>
  <si>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</si>
  <si>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</si>
  <si>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</si>
  <si>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</si>
  <si>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</si>
  <si>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</si>
  <si>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</si>
  <si>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</si>
  <si>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</si>
  <si>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</si>
  <si>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</si>
  <si>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</si>
  <si>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</si>
  <si>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</si>
  <si>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</si>
  <si>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</si>
  <si>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</si>
  <si>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</si>
  <si>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</si>
  <si>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</si>
  <si>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</si>
  <si>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</si>
  <si>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</si>
  <si>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</si>
  <si>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</si>
  <si>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</si>
  <si>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</si>
  <si>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</si>
  <si>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</si>
  <si>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</si>
  <si>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</si>
  <si>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</si>
  <si>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</si>
  <si>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</si>
  <si>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</si>
  <si>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</si>
  <si>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</si>
  <si>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</si>
  <si>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</si>
  <si>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</si>
  <si>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</si>
  <si>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</si>
  <si>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</si>
  <si>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</si>
  <si>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</si>
  <si>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</si>
  <si>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</si>
  <si>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</si>
  <si>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</si>
  <si>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</si>
  <si>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</si>
  <si>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</si>
  <si>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</si>
  <si>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</si>
  <si>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</si>
  <si>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</si>
  <si>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</si>
  <si>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</si>
  <si>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</si>
  <si>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</si>
  <si>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</si>
  <si>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</si>
  <si>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</si>
  <si>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</si>
  <si>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</si>
  <si>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</si>
  <si>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</si>
  <si>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</si>
  <si>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</si>
  <si>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</si>
  <si>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</si>
  <si>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</si>
  <si>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</si>
  <si>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</si>
  <si>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</si>
  <si>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</si>
  <si>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</si>
  <si>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</si>
  <si>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</si>
  <si>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</si>
  <si>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</si>
  <si>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</si>
  <si>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</si>
  <si>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</si>
  <si>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</si>
  <si>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</si>
  <si>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</si>
  <si>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</si>
  <si>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</si>
  <si>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</si>
  <si>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</si>
  <si>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</si>
  <si>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</si>
  <si>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</si>
  <si>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</si>
  <si>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</si>
  <si>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</si>
  <si>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</si>
  <si>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</si>
  <si>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</si>
  <si>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</si>
  <si>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</si>
  <si>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</si>
  <si>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</si>
  <si>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</si>
  <si>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</si>
  <si>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</si>
  <si>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</si>
  <si>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</si>
  <si>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</si>
  <si>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</si>
  <si>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</si>
  <si>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</si>
  <si>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</si>
  <si>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</si>
  <si>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</si>
  <si>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</si>
  <si>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</si>
  <si>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</si>
  <si>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</si>
  <si>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</si>
  <si>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</si>
  <si>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</si>
  <si>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</si>
  <si>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</si>
  <si>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</si>
  <si>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</si>
  <si>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</si>
  <si>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</si>
  <si>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</si>
  <si>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</si>
  <si>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</si>
  <si>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</si>
  <si>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</si>
  <si>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</si>
  <si>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</si>
  <si>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</si>
  <si>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</si>
  <si>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</si>
  <si>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</si>
  <si>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</si>
  <si>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</si>
  <si>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</si>
  <si>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</si>
  <si>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</si>
  <si>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</si>
  <si>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</si>
  <si>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</si>
  <si>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</si>
  <si>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</si>
  <si>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</si>
  <si>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</si>
  <si>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</si>
  <si>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</si>
  <si>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</si>
  <si>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</si>
  <si>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</si>
  <si>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</si>
  <si>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</si>
  <si>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</si>
  <si>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</si>
  <si>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</si>
  <si>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</si>
  <si>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</si>
  <si>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</si>
  <si>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</si>
  <si>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</si>
  <si>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</si>
  <si>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</si>
  <si>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</si>
  <si>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</si>
  <si>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</si>
  <si>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</si>
  <si>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</si>
  <si>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</si>
  <si>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</si>
  <si>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</si>
  <si>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</si>
  <si>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</si>
  <si>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</si>
  <si>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</si>
  <si>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</si>
  <si>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</si>
  <si>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</si>
  <si>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</si>
  <si>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</si>
  <si>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</si>
  <si>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</si>
  <si>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</si>
  <si>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</si>
  <si>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</si>
  <si>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</si>
  <si>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</si>
  <si>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</si>
  <si>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</si>
  <si>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</si>
  <si>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</si>
  <si>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</si>
  <si>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</si>
  <si>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</si>
  <si>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</si>
  <si>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</si>
  <si>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</si>
  <si>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</si>
  <si>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</si>
  <si>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</si>
  <si>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</si>
  <si>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</si>
  <si>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</si>
  <si>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</si>
  <si>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</si>
  <si>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</si>
  <si>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</si>
  <si>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</si>
  <si>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</si>
  <si>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</si>
  <si>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</si>
  <si>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</si>
  <si>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</si>
  <si>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</si>
  <si>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</si>
  <si>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</si>
  <si>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</si>
  <si>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</si>
  <si>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</si>
  <si>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</si>
  <si>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</si>
  <si>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</si>
  <si>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</si>
  <si>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</si>
  <si>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</si>
  <si>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</si>
  <si>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</si>
  <si>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</si>
  <si>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</si>
  <si>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</si>
  <si>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</si>
  <si>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</si>
  <si>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</si>
  <si>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</si>
  <si>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</si>
  <si>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</si>
  <si>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</si>
  <si>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</si>
  <si>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</si>
  <si>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</si>
  <si>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</si>
  <si>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</si>
  <si>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</si>
  <si>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</si>
  <si>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</si>
  <si>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</si>
  <si>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</si>
  <si>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</si>
  <si>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</si>
  <si>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</si>
  <si>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</si>
  <si>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</si>
  <si>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</si>
  <si>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</si>
  <si>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</si>
  <si>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</si>
  <si>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</si>
  <si>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</si>
  <si>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</si>
  <si>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</si>
  <si>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</si>
  <si>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</si>
  <si>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</si>
  <si>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</si>
  <si>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</si>
  <si>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</si>
  <si>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</si>
  <si>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</si>
  <si>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</si>
  <si>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</si>
  <si>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</si>
  <si>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</si>
  <si>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</si>
  <si>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</si>
  <si>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</si>
  <si>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</si>
  <si>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</si>
  <si>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</si>
  <si>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</si>
  <si>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</si>
  <si>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</si>
  <si>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</si>
  <si>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</si>
  <si>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</si>
  <si>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</si>
  <si>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</si>
  <si>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</si>
  <si>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</si>
  <si>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</si>
  <si>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</si>
  <si>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</si>
  <si>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</si>
  <si>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</si>
  <si>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</si>
  <si>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</si>
  <si>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</si>
  <si>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</si>
  <si>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</si>
  <si>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</si>
  <si>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</si>
  <si>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</si>
  <si>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</si>
  <si>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</si>
  <si>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</si>
  <si>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</si>
  <si>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</si>
  <si>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</si>
  <si>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</si>
  <si>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</si>
  <si>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</si>
  <si>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</si>
  <si>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</si>
  <si>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</si>
  <si>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</si>
  <si>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</si>
  <si>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</si>
  <si>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</si>
  <si>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</si>
  <si>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</si>
  <si>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</si>
  <si>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</si>
  <si>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</si>
  <si>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</si>
  <si>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</si>
  <si>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</si>
  <si>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</si>
  <si>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</si>
  <si>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</si>
  <si>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</si>
  <si>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</si>
  <si>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</si>
  <si>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</si>
  <si>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</si>
  <si>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</si>
  <si>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</si>
  <si>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</si>
  <si>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</si>
  <si>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</si>
  <si>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</si>
  <si>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</si>
  <si>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</si>
  <si>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</si>
  <si>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</si>
  <si>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</si>
  <si>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</si>
  <si>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</si>
  <si>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</si>
  <si>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</si>
  <si>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</si>
  <si>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</si>
  <si>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</si>
  <si>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</si>
  <si>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</si>
  <si>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</si>
  <si>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</si>
  <si>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</si>
  <si>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</si>
  <si>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</si>
  <si>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</si>
  <si>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</si>
  <si>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</si>
  <si>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</si>
  <si>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</si>
  <si>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</si>
  <si>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</si>
  <si>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</si>
  <si>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</si>
  <si>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</si>
  <si>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</si>
  <si>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</si>
  <si>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</si>
  <si>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</si>
  <si>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</si>
  <si>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</si>
  <si>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</si>
  <si>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</si>
  <si>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</si>
  <si>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</si>
  <si>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</si>
  <si>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</si>
  <si>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</si>
  <si>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</si>
  <si>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</si>
  <si>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</si>
  <si>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</si>
  <si>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</si>
  <si>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</si>
  <si>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</si>
  <si>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</si>
  <si>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</si>
  <si>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</si>
  <si>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</si>
  <si>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</si>
  <si>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</si>
  <si>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</si>
  <si>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</si>
  <si>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</si>
  <si>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</si>
  <si>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</si>
  <si>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</si>
  <si>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</si>
  <si>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</si>
  <si>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</si>
  <si>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</si>
  <si>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</si>
  <si>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</si>
  <si>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</si>
  <si>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</si>
  <si>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</si>
  <si>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</si>
  <si>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</si>
  <si>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</si>
  <si>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</si>
  <si>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</si>
  <si>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</si>
  <si>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</si>
  <si>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</si>
  <si>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</si>
  <si>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</si>
  <si>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</si>
  <si>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</si>
  <si>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</si>
  <si>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</si>
  <si>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</si>
  <si>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</si>
  <si>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</si>
  <si>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</si>
  <si>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</si>
  <si>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</si>
  <si>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</si>
  <si>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</si>
  <si>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</si>
  <si>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</si>
  <si>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</si>
  <si>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</si>
  <si>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</si>
  <si>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</si>
  <si>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</si>
  <si>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</si>
  <si>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</si>
  <si>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</si>
  <si>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</si>
  <si>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</si>
  <si>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</si>
  <si>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</si>
  <si>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</si>
  <si>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</si>
  <si>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</si>
  <si>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</si>
  <si>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</si>
  <si>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</si>
  <si>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</si>
  <si>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</si>
  <si>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</si>
  <si>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</si>
  <si>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</si>
  <si>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</si>
  <si>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</si>
  <si>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</si>
  <si>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</si>
  <si>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</si>
  <si>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</si>
  <si>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</si>
  <si>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</si>
  <si>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</si>
  <si>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</si>
  <si>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</si>
  <si>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</si>
  <si>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</si>
  <si>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</si>
  <si>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</si>
  <si>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</si>
  <si>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</si>
  <si>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</si>
  <si>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</si>
  <si>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</si>
  <si>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</si>
  <si>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</si>
  <si>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</si>
  <si>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</si>
  <si>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</si>
  <si>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</si>
  <si>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</si>
  <si>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</si>
  <si>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</si>
  <si>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</si>
  <si>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</si>
  <si>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</si>
  <si>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</si>
  <si>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</si>
  <si>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</si>
  <si>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</si>
  <si>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</si>
  <si>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</si>
  <si>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</si>
  <si>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</si>
  <si>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</si>
  <si>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</si>
  <si>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</si>
  <si>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</si>
  <si>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</si>
  <si>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</si>
  <si>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</si>
  <si>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</si>
  <si>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</si>
  <si>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</si>
  <si>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</si>
  <si>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</si>
  <si>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</si>
  <si>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</si>
  <si>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</si>
  <si>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</si>
  <si>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</si>
  <si>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</si>
  <si>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</si>
  <si>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</si>
  <si>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</si>
  <si>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</si>
  <si>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</si>
  <si>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</si>
  <si>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</si>
  <si>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</si>
  <si>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</si>
  <si>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</si>
  <si>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</si>
  <si>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</si>
  <si>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</si>
  <si>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</si>
  <si>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</si>
  <si>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</si>
  <si>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</si>
  <si>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</si>
  <si>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</si>
  <si>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</si>
  <si>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</si>
  <si>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</si>
  <si>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</si>
  <si>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</si>
  <si>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</si>
  <si>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</si>
  <si>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</si>
  <si>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</si>
  <si>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</si>
  <si>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</si>
  <si>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</si>
  <si>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</si>
  <si>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</si>
  <si>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</si>
  <si>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</si>
  <si>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</si>
  <si>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</si>
  <si>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</si>
  <si>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</si>
  <si>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</si>
  <si>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</si>
  <si>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</si>
  <si>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</si>
  <si>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</si>
  <si>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</si>
  <si>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</si>
  <si>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</si>
  <si>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</si>
  <si>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</si>
  <si>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</si>
  <si>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</si>
  <si>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</si>
  <si>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</si>
  <si>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</si>
  <si>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</si>
  <si>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</si>
  <si>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</si>
  <si>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</si>
  <si>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</si>
  <si>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</si>
  <si>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</si>
  <si>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</si>
  <si>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</si>
  <si>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</si>
  <si>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</si>
  <si>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</si>
  <si>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</si>
  <si>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</si>
  <si>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</si>
  <si>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</si>
  <si>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</si>
  <si>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</si>
  <si>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</si>
  <si>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</si>
  <si>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</si>
  <si>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</si>
  <si>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</si>
  <si>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</si>
  <si>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</si>
  <si>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</si>
  <si>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</si>
  <si>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</si>
  <si>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</si>
  <si>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</si>
  <si>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</si>
  <si>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</si>
  <si>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</si>
  <si>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</si>
  <si>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</si>
  <si>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</si>
  <si>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</si>
  <si>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</si>
  <si>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</si>
  <si>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</si>
  <si>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</si>
  <si>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</si>
  <si>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</si>
  <si>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</si>
  <si>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</si>
  <si>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</si>
  <si>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</si>
  <si>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</si>
  <si>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</si>
  <si>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</si>
  <si>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</si>
  <si>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</si>
  <si>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</si>
  <si>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</si>
  <si>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</si>
  <si>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</si>
  <si>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</si>
  <si>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</si>
  <si>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</si>
  <si>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</si>
  <si>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</si>
  <si>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</si>
  <si>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</si>
  <si>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</si>
  <si>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</si>
  <si>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</si>
  <si>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</si>
  <si>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</si>
  <si>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</si>
  <si>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</si>
  <si>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</si>
  <si>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</si>
  <si>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</si>
  <si>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</si>
  <si>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</si>
  <si>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</si>
  <si>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</si>
  <si>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</si>
  <si>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</si>
  <si>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</si>
  <si>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</si>
  <si>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</si>
  <si>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</si>
  <si>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</si>
  <si>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</si>
  <si>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</si>
  <si>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</si>
  <si>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</si>
  <si>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</si>
  <si>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</si>
  <si>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</si>
  <si>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</si>
  <si>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</si>
  <si>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</si>
  <si>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</si>
  <si>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</si>
  <si>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</si>
  <si>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</si>
  <si>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</si>
  <si>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</si>
  <si>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</si>
  <si>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</si>
  <si>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</si>
  <si>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</si>
  <si>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</si>
  <si>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</si>
  <si>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</si>
  <si>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</si>
  <si>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</si>
  <si>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</si>
  <si>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</si>
  <si>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</si>
  <si>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</si>
  <si>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</si>
  <si>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</si>
  <si>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</si>
  <si>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</si>
  <si>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</si>
  <si>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</si>
  <si>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</si>
  <si>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</si>
  <si>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</si>
  <si>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</si>
  <si>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</si>
  <si>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</si>
  <si>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</si>
  <si>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</si>
  <si>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</si>
  <si>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</si>
  <si>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</si>
  <si>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</si>
  <si>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</si>
  <si>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</si>
  <si>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</si>
  <si>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</si>
  <si>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</si>
  <si>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</si>
  <si>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</si>
  <si>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</si>
  <si>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</si>
  <si>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</si>
  <si>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</si>
  <si>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</si>
  <si>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</si>
  <si>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</si>
  <si>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</si>
  <si>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</si>
  <si>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</si>
  <si>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</si>
  <si>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</si>
  <si>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</si>
  <si>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</si>
  <si>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</si>
  <si>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</si>
  <si>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</si>
  <si>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</si>
  <si>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</si>
  <si>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</si>
  <si>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</si>
  <si>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</si>
  <si>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</si>
  <si>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</si>
  <si>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</si>
  <si>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</si>
  <si>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</si>
  <si>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</si>
  <si>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</si>
  <si>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</si>
  <si>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</si>
  <si>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</si>
  <si>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</si>
  <si>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</si>
  <si>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</si>
  <si>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</si>
  <si>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</si>
  <si>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</si>
  <si>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</si>
  <si>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</si>
  <si>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</si>
  <si>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</si>
  <si>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</si>
  <si>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</si>
  <si>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</si>
  <si>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</si>
  <si>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</si>
  <si>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</si>
  <si>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</si>
  <si>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</si>
  <si>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</si>
  <si>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</si>
  <si>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</si>
  <si>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</si>
  <si>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</si>
  <si>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</si>
  <si>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</si>
  <si>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</si>
  <si>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</si>
  <si>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</si>
  <si>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</si>
  <si>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</si>
  <si>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</si>
  <si>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</si>
  <si>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</si>
  <si>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</si>
  <si>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</si>
  <si>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</si>
  <si>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</si>
  <si>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</si>
  <si>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</si>
  <si>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</si>
  <si>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</si>
  <si>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</si>
  <si>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</si>
  <si>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</si>
  <si>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</si>
  <si>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</si>
  <si>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</si>
  <si>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</si>
  <si>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</si>
  <si>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</si>
  <si>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</si>
  <si>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</si>
  <si>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</si>
  <si>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</si>
  <si>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</si>
  <si>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</si>
  <si>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</si>
  <si>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</si>
  <si>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</si>
  <si>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</si>
  <si>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</si>
  <si>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</si>
  <si>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</si>
  <si>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</si>
  <si>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</si>
  <si>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</si>
  <si>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</si>
  <si>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</si>
  <si>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</si>
  <si>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</si>
  <si>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</si>
  <si>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</si>
  <si>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</si>
  <si>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</si>
  <si>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</si>
  <si>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</si>
  <si>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</si>
  <si>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</si>
  <si>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</si>
  <si>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</si>
  <si>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</si>
  <si>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</si>
  <si>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</si>
  <si>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</si>
  <si>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</si>
  <si>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</si>
  <si>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</si>
  <si>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</si>
  <si>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</si>
  <si>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</si>
  <si>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</si>
  <si>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</si>
  <si>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</si>
  <si>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</si>
  <si>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</si>
  <si>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</si>
  <si>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</si>
  <si>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</si>
  <si>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</si>
  <si>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</si>
  <si>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</si>
  <si>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</si>
  <si>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</si>
  <si>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</si>
  <si>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</si>
  <si>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</si>
  <si>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</si>
  <si>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</si>
  <si>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</si>
  <si>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</si>
  <si>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</si>
  <si>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</si>
  <si>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</si>
  <si>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</si>
  <si>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</si>
  <si>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</si>
  <si>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</si>
  <si>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</si>
  <si>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</si>
  <si>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</si>
  <si>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</si>
  <si>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</si>
  <si>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</si>
  <si>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</si>
  <si>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</si>
  <si>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</si>
  <si>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</si>
  <si>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</si>
  <si>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</si>
  <si>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</si>
  <si>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</si>
  <si>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</si>
  <si>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</si>
  <si>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</si>
  <si>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</si>
  <si>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</si>
  <si>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</si>
  <si>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</si>
  <si>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</si>
  <si>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</si>
  <si>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</si>
  <si>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</si>
  <si>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</si>
  <si>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</si>
  <si>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</si>
  <si>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</si>
  <si>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</si>
  <si>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</si>
  <si>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</si>
  <si>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</si>
  <si>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</si>
  <si>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</si>
  <si>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</si>
  <si>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</si>
  <si>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</si>
  <si>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</si>
  <si>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</si>
  <si>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</si>
  <si>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</si>
  <si>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</si>
  <si>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</si>
  <si>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</si>
  <si>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</si>
  <si>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</si>
  <si>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</si>
  <si>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</si>
  <si>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</si>
  <si>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</si>
  <si>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</si>
  <si>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</si>
  <si>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</si>
  <si>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</si>
  <si>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</si>
  <si>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</si>
  <si>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</si>
  <si>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</si>
  <si>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</si>
  <si>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</si>
  <si>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</si>
  <si>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</si>
  <si>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</si>
  <si>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</si>
  <si>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</si>
  <si>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</si>
  <si>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</si>
  <si>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</si>
  <si>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</si>
  <si>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</si>
  <si>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</si>
  <si>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</si>
  <si>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</si>
  <si>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</si>
  <si>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</si>
  <si>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</si>
  <si>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</si>
  <si>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</si>
  <si>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</si>
  <si>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</si>
  <si>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</si>
  <si>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</si>
  <si>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</si>
  <si>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</si>
  <si>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</si>
  <si>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</si>
  <si>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</si>
  <si>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</si>
  <si>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</si>
  <si>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</si>
  <si>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</si>
  <si>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</si>
  <si>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</si>
  <si>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</si>
  <si>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</si>
  <si>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</si>
  <si>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</si>
  <si>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</si>
  <si>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</si>
  <si>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</si>
  <si>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</si>
  <si>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</si>
  <si>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</si>
  <si>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</si>
  <si>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</si>
  <si>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</si>
  <si>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</si>
  <si>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</si>
  <si>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</si>
  <si>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</si>
  <si>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</si>
  <si>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</si>
  <si>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</si>
  <si>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</si>
  <si>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</si>
  <si>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</si>
  <si>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</si>
  <si>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</si>
  <si>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</si>
  <si>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</si>
  <si>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</si>
  <si>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</si>
  <si>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</si>
  <si>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</si>
  <si>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</si>
  <si>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</si>
  <si>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</si>
  <si>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</si>
  <si>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</si>
  <si>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</si>
  <si>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</si>
  <si>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</si>
  <si>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</si>
  <si>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</si>
  <si>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</si>
  <si>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</si>
  <si>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</si>
  <si>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</si>
  <si>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</si>
  <si>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</si>
  <si>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</si>
  <si>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</si>
  <si>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</si>
  <si>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</si>
  <si>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</si>
  <si>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</si>
  <si>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</si>
  <si>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</si>
  <si>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</si>
  <si>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</si>
  <si>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</si>
  <si>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</si>
  <si>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</si>
  <si>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</si>
  <si>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</si>
  <si>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</si>
  <si>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</si>
  <si>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</si>
  <si>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</si>
  <si>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</si>
  <si>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</si>
  <si>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</si>
  <si>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</si>
  <si>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</si>
  <si>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</si>
  <si>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</si>
  <si>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</si>
  <si>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</si>
  <si>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</si>
  <si>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</si>
  <si>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</si>
  <si>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</si>
  <si>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</si>
  <si>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</si>
  <si>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</si>
  <si>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</si>
  <si>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</si>
  <si>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</si>
  <si>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</si>
  <si>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</si>
  <si>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</si>
  <si>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</si>
  <si>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</si>
  <si>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</si>
  <si>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</si>
  <si>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</si>
  <si>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</si>
  <si>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</si>
  <si>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</si>
  <si>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</si>
  <si>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</si>
  <si>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</si>
  <si>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</si>
  <si>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</si>
  <si>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</si>
  <si>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</si>
  <si>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</si>
  <si>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</si>
  <si>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</si>
  <si>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</si>
  <si>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</si>
  <si>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</si>
  <si>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</si>
  <si>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</si>
  <si>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</si>
  <si>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</si>
  <si>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</si>
  <si>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</si>
  <si>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</si>
  <si>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</si>
  <si>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</si>
  <si>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</si>
  <si>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</si>
  <si>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</si>
  <si>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</si>
  <si>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</si>
  <si>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</si>
  <si>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</si>
  <si>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</si>
  <si>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</si>
  <si>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</si>
  <si>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</si>
  <si>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</si>
  <si>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</si>
  <si>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</si>
  <si>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</si>
  <si>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</si>
  <si>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</si>
  <si>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</si>
  <si>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</si>
  <si>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</si>
  <si>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</si>
  <si>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</si>
  <si>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</si>
  <si>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</si>
  <si>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</si>
  <si>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</si>
  <si>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</si>
  <si>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</si>
  <si>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</si>
  <si>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</si>
  <si>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</si>
  <si>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</si>
  <si>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</si>
  <si>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</si>
  <si>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</si>
  <si>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</si>
  <si>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</si>
  <si>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</si>
  <si>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</si>
  <si>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</si>
  <si>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</si>
  <si>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</si>
  <si>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</si>
  <si>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</si>
  <si>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</si>
  <si>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</si>
  <si>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</si>
  <si>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</si>
  <si>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</si>
  <si>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</si>
  <si>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</si>
  <si>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</si>
  <si>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</si>
  <si>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</si>
  <si>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</si>
  <si>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</si>
  <si>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</si>
  <si>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</si>
  <si>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</si>
  <si>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</si>
  <si>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</si>
  <si>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</si>
  <si>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</si>
  <si>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</si>
  <si>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</si>
  <si>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</si>
  <si>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</si>
  <si>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</si>
  <si>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</si>
  <si>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</si>
  <si>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</si>
  <si>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</si>
  <si>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</si>
  <si>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</si>
  <si>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</si>
  <si>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</si>
  <si>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</si>
  <si>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</si>
  <si>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</si>
  <si>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</si>
  <si>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</si>
  <si>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</si>
  <si>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</si>
  <si>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</si>
  <si>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</si>
  <si>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</si>
  <si>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</si>
  <si>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</si>
  <si>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</si>
  <si>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</si>
  <si>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</si>
  <si>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</si>
  <si>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</si>
  <si>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</si>
  <si>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</si>
  <si>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</si>
  <si>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</si>
  <si>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</si>
  <si>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</si>
  <si>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</si>
  <si>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</si>
  <si>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</si>
  <si>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</si>
  <si>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</si>
  <si>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</si>
  <si>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</si>
  <si>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</si>
  <si>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</si>
  <si>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</si>
  <si>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</si>
  <si>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</si>
  <si>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</si>
  <si>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</si>
  <si>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</si>
  <si>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</si>
  <si>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</si>
  <si>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</si>
  <si>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</si>
  <si>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</si>
  <si>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</si>
  <si>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</si>
  <si>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</si>
  <si>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</si>
  <si>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</si>
  <si>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</si>
  <si>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</si>
  <si>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</si>
  <si>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</si>
  <si>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</si>
  <si>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</si>
  <si>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</si>
  <si>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</si>
  <si>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</si>
  <si>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</si>
  <si>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</si>
  <si>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</si>
  <si>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</si>
  <si>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</si>
  <si>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</si>
  <si>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</si>
  <si>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</si>
  <si>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</si>
  <si>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</si>
  <si>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</si>
  <si>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</si>
  <si>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</si>
  <si>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</si>
  <si>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</si>
  <si>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</si>
  <si>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</si>
  <si>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</si>
  <si>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</si>
  <si>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</si>
  <si>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</si>
  <si>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</si>
  <si>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</si>
  <si>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</si>
  <si>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</si>
  <si>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</si>
  <si>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</si>
  <si>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</si>
  <si>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</si>
  <si>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</si>
  <si>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</si>
  <si>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</si>
  <si>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</si>
  <si>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</si>
  <si>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</si>
  <si>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</si>
  <si>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</si>
  <si>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</si>
  <si>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</si>
  <si>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</si>
  <si>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</si>
  <si>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</si>
  <si>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</si>
  <si>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</si>
  <si>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</si>
  <si>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</si>
  <si>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</si>
  <si>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</si>
  <si>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</si>
  <si>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</si>
  <si>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</si>
  <si>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</si>
  <si>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</si>
  <si>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</si>
  <si>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</si>
  <si>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</si>
  <si>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</si>
  <si>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</si>
  <si>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</si>
  <si>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</si>
  <si>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</si>
  <si>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</si>
  <si>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</si>
  <si>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</si>
  <si>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</si>
  <si>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</si>
  <si>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</si>
  <si>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</si>
  <si>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</si>
  <si>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</si>
  <si>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</si>
  <si>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</si>
  <si>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</si>
  <si>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</si>
  <si>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</si>
  <si>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</si>
  <si>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</si>
  <si>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</si>
  <si>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</si>
  <si>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</si>
  <si>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</si>
  <si>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</si>
  <si>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</si>
  <si>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</si>
  <si>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</si>
  <si>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</si>
  <si>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</si>
  <si>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</si>
  <si>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</si>
  <si>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</si>
  <si>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</si>
  <si>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</si>
  <si>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</si>
  <si>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</si>
  <si>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</si>
  <si>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</si>
  <si>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</si>
  <si>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</si>
  <si>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</si>
  <si>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</si>
  <si>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</si>
  <si>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</si>
  <si>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</si>
  <si>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</si>
  <si>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</si>
  <si>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</si>
  <si>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</si>
  <si>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</si>
  <si>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</si>
  <si>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</si>
  <si>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</si>
  <si>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</si>
  <si>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</si>
  <si>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</si>
  <si>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</si>
  <si>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</si>
  <si>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</si>
  <si>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</si>
  <si>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</si>
  <si>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</si>
  <si>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</si>
  <si>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</si>
  <si>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</si>
  <si>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</si>
  <si>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</si>
  <si>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</si>
  <si>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</si>
  <si>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</si>
  <si>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</si>
  <si>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</si>
  <si>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</si>
  <si>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</si>
  <si>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</si>
  <si>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</si>
  <si>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</si>
  <si>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</si>
  <si>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</si>
  <si>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</si>
  <si>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</si>
  <si>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</si>
  <si>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</si>
  <si>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</si>
  <si>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</si>
  <si>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</si>
  <si>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</si>
  <si>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</si>
  <si>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</si>
  <si>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</si>
  <si>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</si>
  <si>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</si>
  <si>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</si>
  <si>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</si>
  <si>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</si>
  <si>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</si>
  <si>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</si>
  <si>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</si>
  <si>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</si>
  <si>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</si>
  <si>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</si>
  <si>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</si>
  <si>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</si>
  <si>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</si>
  <si>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</si>
  <si>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</si>
  <si>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</si>
  <si>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</si>
  <si>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</si>
  <si>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</si>
  <si>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</si>
  <si>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</si>
  <si>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</si>
  <si>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</si>
  <si>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</si>
  <si>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</si>
  <si>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</si>
  <si>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</si>
  <si>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</si>
  <si>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</si>
  <si>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</si>
  <si>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</si>
  <si>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</si>
  <si>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</si>
  <si>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</si>
  <si>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</si>
  <si>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</si>
  <si>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</si>
  <si>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</si>
  <si>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</si>
  <si>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</si>
  <si>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</si>
  <si>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</si>
  <si>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</si>
  <si>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</si>
  <si>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</si>
  <si>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</si>
  <si>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</si>
  <si>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</si>
  <si>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</si>
  <si>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</si>
  <si>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</si>
  <si>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</si>
  <si>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</si>
  <si>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</si>
  <si>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</si>
  <si>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</si>
  <si>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</si>
  <si>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</si>
  <si>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</si>
  <si>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</si>
  <si>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</si>
  <si>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</si>
  <si>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</si>
  <si>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</si>
  <si>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</si>
  <si>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</si>
  <si>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</si>
  <si>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</si>
  <si>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</si>
  <si>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</si>
  <si>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</si>
  <si>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</si>
  <si>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</si>
  <si>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</si>
  <si>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</si>
  <si>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</si>
  <si>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</si>
  <si>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</si>
  <si>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</si>
  <si>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</si>
  <si>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</si>
  <si>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</si>
  <si>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</si>
  <si>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</si>
  <si>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</si>
  <si>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</si>
  <si>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</si>
  <si>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</si>
  <si>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</si>
  <si>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</si>
  <si>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</si>
  <si>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</si>
  <si>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</si>
  <si>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</si>
  <si>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</si>
  <si>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</si>
  <si>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</si>
  <si>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</si>
  <si>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</si>
  <si>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</si>
  <si>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</si>
  <si>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</si>
  <si>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</si>
  <si>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</si>
  <si>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</si>
  <si>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</si>
  <si>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</si>
  <si>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</si>
  <si>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</si>
  <si>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</si>
  <si>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</si>
  <si>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</si>
  <si>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</si>
  <si>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</si>
  <si>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</si>
  <si>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</si>
  <si>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</si>
  <si>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</si>
  <si>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</si>
  <si>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</si>
  <si>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</si>
  <si>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</si>
  <si>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</si>
  <si>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</si>
  <si>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</si>
  <si>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</si>
  <si>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</si>
  <si>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</si>
  <si>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</si>
  <si>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</si>
  <si>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</si>
  <si>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</si>
  <si>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</si>
  <si>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</si>
  <si>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</si>
  <si>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</si>
  <si>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</si>
  <si>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</si>
  <si>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</si>
  <si>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</si>
  <si>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</si>
  <si>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</si>
  <si>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</si>
  <si>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</si>
  <si>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</si>
  <si>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</si>
  <si>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</si>
  <si>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</si>
  <si>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</si>
  <si>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</si>
  <si>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</si>
  <si>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</si>
  <si>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</si>
  <si>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</si>
  <si>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</si>
  <si>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</si>
  <si>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</si>
  <si>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</si>
  <si>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</si>
  <si>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</si>
  <si>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</si>
  <si>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</si>
  <si>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</si>
  <si>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</si>
  <si>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</si>
  <si>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</si>
  <si>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</si>
  <si>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</si>
  <si>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</si>
  <si>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</si>
  <si>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</si>
  <si>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</si>
  <si>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</si>
  <si>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</si>
  <si>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</si>
  <si>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</si>
  <si>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</si>
  <si>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</si>
  <si>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</si>
  <si>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</si>
  <si>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</si>
  <si>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</si>
  <si>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</si>
  <si>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</si>
  <si>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</si>
  <si>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</si>
  <si>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</si>
  <si>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</si>
  <si>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</si>
  <si>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</si>
  <si>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</si>
  <si>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</si>
  <si>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</si>
  <si>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</si>
  <si>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</si>
  <si>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</si>
  <si>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</si>
  <si>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</si>
  <si>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</si>
  <si>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</si>
  <si>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</si>
  <si>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</si>
  <si>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</si>
  <si>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</si>
  <si>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</si>
  <si>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</si>
  <si>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</si>
  <si>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</si>
  <si>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</si>
  <si>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</si>
  <si>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</si>
  <si>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</si>
  <si>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</si>
  <si>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</si>
  <si>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</si>
  <si>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</si>
  <si>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</si>
  <si>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</si>
  <si>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</si>
  <si>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</si>
  <si>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</si>
  <si>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</si>
  <si>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</si>
  <si>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</si>
  <si>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</si>
  <si>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</si>
  <si>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</si>
  <si>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</si>
  <si>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</si>
  <si>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</si>
  <si>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</si>
  <si>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</si>
  <si>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</si>
  <si>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</si>
  <si>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</si>
  <si>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</si>
  <si>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</si>
  <si>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</si>
  <si>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</si>
  <si>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</si>
  <si>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</si>
  <si>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</si>
  <si>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</si>
  <si>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</si>
  <si>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</si>
  <si>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</si>
  <si>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</si>
  <si>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</si>
  <si>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</si>
  <si>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</si>
  <si>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</si>
  <si>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</si>
  <si>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</si>
  <si>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</si>
  <si>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</si>
  <si>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</si>
  <si>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</si>
  <si>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</si>
  <si>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</si>
  <si>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</si>
  <si>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</si>
  <si>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</si>
  <si>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</si>
  <si>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</si>
  <si>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</si>
  <si>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</si>
  <si>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</si>
  <si>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</si>
  <si>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</si>
  <si>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</si>
  <si>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</si>
  <si>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</si>
  <si>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</si>
  <si>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</si>
  <si>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</si>
  <si>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</si>
  <si>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</si>
  <si>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</si>
  <si>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</si>
  <si>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</si>
  <si>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</si>
  <si>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</si>
  <si>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</si>
  <si>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</si>
  <si>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</si>
  <si>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</si>
  <si>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</si>
  <si>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</si>
  <si>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</si>
  <si>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</si>
  <si>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</si>
  <si>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</si>
  <si>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</si>
  <si>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</si>
  <si>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</si>
  <si>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</si>
  <si>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</si>
  <si>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</si>
  <si>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</si>
  <si>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</si>
  <si>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</si>
  <si>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</si>
  <si>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</si>
  <si>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</si>
  <si>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</si>
  <si>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</si>
  <si>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</si>
  <si>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</si>
  <si>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</si>
  <si>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</si>
  <si>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</si>
  <si>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</si>
  <si>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</si>
  <si>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</si>
  <si>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</si>
  <si>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</si>
  <si>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</si>
  <si>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</si>
  <si>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</si>
  <si>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</si>
  <si>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</si>
  <si>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</si>
  <si>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</si>
  <si>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</si>
  <si>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</si>
  <si>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</si>
  <si>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</si>
  <si>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</si>
  <si>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</si>
  <si>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</si>
  <si>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</si>
  <si>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</si>
  <si>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</si>
  <si>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</si>
  <si>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</si>
  <si>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</si>
  <si>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</si>
  <si>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</si>
  <si>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</si>
  <si>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</si>
  <si>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</si>
  <si>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</si>
  <si>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</si>
  <si>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</si>
  <si>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</si>
  <si>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</si>
  <si>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</si>
  <si>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</si>
  <si>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</si>
  <si>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</si>
  <si>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</si>
  <si>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</si>
  <si>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</si>
  <si>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</si>
  <si>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</si>
  <si>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</si>
  <si>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</si>
  <si>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</si>
  <si>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</si>
  <si>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</si>
  <si>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</si>
  <si>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</si>
  <si>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</si>
  <si>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</si>
  <si>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</si>
  <si>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</si>
  <si>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</si>
  <si>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</si>
  <si>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</si>
  <si>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</si>
  <si>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</si>
  <si>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</si>
  <si>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</si>
  <si>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</si>
  <si>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</si>
  <si>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</si>
  <si>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</si>
  <si>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</si>
  <si>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</si>
  <si>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</si>
  <si>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</si>
  <si>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</si>
  <si>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</si>
  <si>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</si>
  <si>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</si>
  <si>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</si>
  <si>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</si>
  <si>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</si>
  <si>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</si>
  <si>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</si>
  <si>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</si>
  <si>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</si>
  <si>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</si>
  <si>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</si>
  <si>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</si>
  <si>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</si>
  <si>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</si>
  <si>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</si>
  <si>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</si>
  <si>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</si>
  <si>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</si>
  <si>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</si>
  <si>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</si>
  <si>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</si>
  <si>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</si>
  <si>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</si>
  <si>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</si>
  <si>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</si>
  <si>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</si>
  <si>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</si>
  <si>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</si>
  <si>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</si>
  <si>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</si>
  <si>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</si>
  <si>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</si>
  <si>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</si>
  <si>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</si>
  <si>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</si>
  <si>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</si>
  <si>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</si>
  <si>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</si>
  <si>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</si>
  <si>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</si>
  <si>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</si>
  <si>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</si>
  <si>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</si>
  <si>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</si>
  <si>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</si>
  <si>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</si>
  <si>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</si>
  <si>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</si>
  <si>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</si>
  <si>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</si>
  <si>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</si>
  <si>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</si>
  <si>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</si>
  <si>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</si>
  <si>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</si>
  <si>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</si>
  <si>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</si>
  <si>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</si>
  <si>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</si>
  <si>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</si>
  <si>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</si>
  <si>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</si>
  <si>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</si>
  <si>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</si>
  <si>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</si>
  <si>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</si>
  <si>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</si>
  <si>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</si>
  <si>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</si>
  <si>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</si>
  <si>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</si>
  <si>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</si>
  <si>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</si>
  <si>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</si>
  <si>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</si>
  <si>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</si>
  <si>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</si>
  <si>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</si>
  <si>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</si>
  <si>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</si>
  <si>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</si>
  <si>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</si>
  <si>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</si>
  <si>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</si>
  <si>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</si>
  <si>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</si>
  <si>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</si>
  <si>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</si>
  <si>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</si>
  <si>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</si>
  <si>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</si>
  <si>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</si>
  <si>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</si>
  <si>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</si>
  <si>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</si>
  <si>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</si>
  <si>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</si>
  <si>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</si>
  <si>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</si>
  <si>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</si>
  <si>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</si>
  <si>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</si>
  <si>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</si>
  <si>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</si>
  <si>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</si>
  <si>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</si>
  <si>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</si>
  <si>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</si>
  <si>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</si>
  <si>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</si>
  <si>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</si>
  <si>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</si>
  <si>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</si>
  <si>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</si>
  <si>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</si>
  <si>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</si>
  <si>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</si>
  <si>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</si>
  <si>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</si>
  <si>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</si>
  <si>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</si>
  <si>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</si>
  <si>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</si>
  <si>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</si>
  <si>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</si>
  <si>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</si>
  <si>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</si>
  <si>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</si>
  <si>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</si>
  <si>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</si>
  <si>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</si>
  <si>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</si>
  <si>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</si>
  <si>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</si>
  <si>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</si>
  <si>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</si>
  <si>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</si>
  <si>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</si>
  <si>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</si>
  <si>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</si>
  <si>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</si>
  <si>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</si>
  <si>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</si>
  <si>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</si>
  <si>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</si>
  <si>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</si>
  <si>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</si>
  <si>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</si>
  <si>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</si>
  <si>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</si>
  <si>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</si>
  <si>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</si>
  <si>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</si>
  <si>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</si>
  <si>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</si>
  <si>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</si>
  <si>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</si>
  <si>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</si>
  <si>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</si>
  <si>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</si>
  <si>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</si>
  <si>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</si>
  <si>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</si>
  <si>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</si>
  <si>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</si>
  <si>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</si>
  <si>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</si>
  <si>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</si>
  <si>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</si>
  <si>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</si>
  <si>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</si>
  <si>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</si>
  <si>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</si>
  <si>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</si>
  <si>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</si>
  <si>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</si>
  <si>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</si>
  <si>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</si>
  <si>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</si>
  <si>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</si>
  <si>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</si>
  <si>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</si>
  <si>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</si>
  <si>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</si>
  <si>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</si>
  <si>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</si>
  <si>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</si>
  <si>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</si>
  <si>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</si>
  <si>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</si>
  <si>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</si>
  <si>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</si>
  <si>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</si>
  <si>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</si>
  <si>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</si>
  <si>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</si>
  <si>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</si>
  <si>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</si>
  <si>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</si>
  <si>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</si>
  <si>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</si>
  <si>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</si>
  <si>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</si>
  <si>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</si>
  <si>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</si>
  <si>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</si>
  <si>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</si>
  <si>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</si>
  <si>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</si>
  <si>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</si>
  <si>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</si>
  <si>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</si>
  <si>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</si>
  <si>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</si>
  <si>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</si>
  <si>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</si>
  <si>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</si>
  <si>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</si>
  <si>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</si>
  <si>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</si>
  <si>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</si>
  <si>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</si>
  <si>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</si>
  <si>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</si>
  <si>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</si>
  <si>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</si>
  <si>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</si>
  <si>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</si>
  <si>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</si>
  <si>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</si>
  <si>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</si>
  <si>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</si>
  <si>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</si>
  <si>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</si>
  <si>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</si>
  <si>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</si>
  <si>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</si>
  <si>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</si>
  <si>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</si>
  <si>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</si>
  <si>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</si>
  <si>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</si>
  <si>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</si>
  <si>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</si>
  <si>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</si>
  <si>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</si>
  <si>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</si>
  <si>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</si>
  <si>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</si>
  <si>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</si>
  <si>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</si>
  <si>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</si>
  <si>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</si>
  <si>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</si>
  <si>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</si>
  <si>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</si>
  <si>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</si>
  <si>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</si>
  <si>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</si>
  <si>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</si>
  <si>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</si>
  <si>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</si>
  <si>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</si>
  <si>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</si>
  <si>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</si>
  <si>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</si>
  <si>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</si>
  <si>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</si>
  <si>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</si>
  <si>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</si>
  <si>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</si>
  <si>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</si>
  <si>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</si>
  <si>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</si>
  <si>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</si>
  <si>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</si>
  <si>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</si>
  <si>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</si>
  <si>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</si>
  <si>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</si>
  <si>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</si>
  <si>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</si>
  <si>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</si>
  <si>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</si>
  <si>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</si>
  <si>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</si>
  <si>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</si>
  <si>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</si>
  <si>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</si>
  <si>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</si>
  <si>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</si>
  <si>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</si>
  <si>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</si>
  <si>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</si>
  <si>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</si>
  <si>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</si>
  <si>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</si>
  <si>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</si>
  <si>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</si>
  <si>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</si>
  <si>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</si>
  <si>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</si>
  <si>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</si>
  <si>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</si>
  <si>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</si>
  <si>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</si>
  <si>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</si>
  <si>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</si>
  <si>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</si>
  <si>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</si>
  <si>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</si>
  <si>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</si>
  <si>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</si>
  <si>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</si>
  <si>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</si>
  <si>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</si>
  <si>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</si>
  <si>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</si>
  <si>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</si>
  <si>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</si>
  <si>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</si>
  <si>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</si>
  <si>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</si>
  <si>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</si>
  <si>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</si>
  <si>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</si>
  <si>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</si>
  <si>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</si>
  <si>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</si>
  <si>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</si>
  <si>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</si>
  <si>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</si>
  <si>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</si>
  <si>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</si>
  <si>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</si>
  <si>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</si>
  <si>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</si>
  <si>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</si>
  <si>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</si>
  <si>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</si>
  <si>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</si>
  <si>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</si>
  <si>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</si>
  <si>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</si>
  <si>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</si>
  <si>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</si>
  <si>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</si>
  <si>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</si>
  <si>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</si>
  <si>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</si>
  <si>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</si>
  <si>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</si>
  <si>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</si>
  <si>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</si>
  <si>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</si>
  <si>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</si>
  <si>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</si>
  <si>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</si>
  <si>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</si>
  <si>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</si>
  <si>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</si>
  <si>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</si>
  <si>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</si>
  <si>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</si>
  <si>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</si>
  <si>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</si>
  <si>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</si>
  <si>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</si>
  <si>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</si>
  <si>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</si>
  <si>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</si>
  <si>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</si>
  <si>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</si>
  <si>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</si>
  <si>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</si>
  <si>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</si>
  <si>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</si>
  <si>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</si>
  <si>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</si>
  <si>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</si>
  <si>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</si>
  <si>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</si>
  <si>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</si>
  <si>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</si>
  <si>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</si>
  <si>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</si>
  <si>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</si>
  <si>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</si>
  <si>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</si>
  <si>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</si>
  <si>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</si>
  <si>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</si>
  <si>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</si>
  <si>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</si>
  <si>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</si>
  <si>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</si>
  <si>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</si>
  <si>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</si>
  <si>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</si>
  <si>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</si>
  <si>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</si>
  <si>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</si>
  <si>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</si>
  <si>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</si>
  <si>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</si>
  <si>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</si>
  <si>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</si>
  <si>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</si>
  <si>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</si>
  <si>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</si>
  <si>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</si>
  <si>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</si>
  <si>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</si>
  <si>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</si>
  <si>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</si>
  <si>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</si>
  <si>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</si>
  <si>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</si>
  <si>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</si>
  <si>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</si>
  <si>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</si>
  <si>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</si>
  <si>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</si>
  <si>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</si>
  <si>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</si>
  <si>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</si>
  <si>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</si>
  <si>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</si>
  <si>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</si>
  <si>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</si>
  <si>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</si>
  <si>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</si>
  <si>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</si>
  <si>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</si>
  <si>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</si>
  <si>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</si>
  <si>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</si>
  <si>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</si>
  <si>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</si>
  <si>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</si>
  <si>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</si>
  <si>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</si>
  <si>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</si>
  <si>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</si>
  <si>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</si>
  <si>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</si>
  <si>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</si>
  <si>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</si>
  <si>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</si>
  <si>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</si>
  <si>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</si>
  <si>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</si>
  <si>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</si>
  <si>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</si>
  <si>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</si>
  <si>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</si>
  <si>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</si>
  <si>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</si>
  <si>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</si>
  <si>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</si>
  <si>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</si>
  <si>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</si>
  <si>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</si>
  <si>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</si>
  <si>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</si>
  <si>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</si>
  <si>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</si>
  <si>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</si>
  <si>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</si>
  <si>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</si>
  <si>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</si>
  <si>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</si>
  <si>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</si>
  <si>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</si>
  <si>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</si>
  <si>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</si>
  <si>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</si>
  <si>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</si>
  <si>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</si>
  <si>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</si>
  <si>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</si>
  <si>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</si>
  <si>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</si>
  <si>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</si>
  <si>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</si>
  <si>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</si>
  <si>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</si>
  <si>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</si>
  <si>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</si>
  <si>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</si>
  <si>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</si>
  <si>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</si>
  <si>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</si>
  <si>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</si>
  <si>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</si>
  <si>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</si>
  <si>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</si>
  <si>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</si>
  <si>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</si>
  <si>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</si>
  <si>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</si>
  <si>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</si>
  <si>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</si>
  <si>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</si>
  <si>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</si>
  <si>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</si>
  <si>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</si>
  <si>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</si>
  <si>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</si>
  <si>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</si>
  <si>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</si>
  <si>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</si>
  <si>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</si>
  <si>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</si>
  <si>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</si>
  <si>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</si>
  <si>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</si>
  <si>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</si>
  <si>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</si>
  <si>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</si>
  <si>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</si>
  <si>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</si>
  <si>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</si>
  <si>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</si>
  <si>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</si>
  <si>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</si>
  <si>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</si>
  <si>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</si>
  <si>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</si>
  <si>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</si>
  <si>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</si>
  <si>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</si>
  <si>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</si>
  <si>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</si>
  <si>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</si>
  <si>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</si>
  <si>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</si>
  <si>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</si>
  <si>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</si>
  <si>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</si>
  <si>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</si>
  <si>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</si>
  <si>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</si>
  <si>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</si>
  <si>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</si>
  <si>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</si>
  <si>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</si>
  <si>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</si>
  <si>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</si>
  <si>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</si>
  <si>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</si>
  <si>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</si>
  <si>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</si>
  <si>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</si>
  <si>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</si>
  <si>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</si>
  <si>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</si>
  <si>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</si>
  <si>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</si>
  <si>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</si>
  <si>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</si>
  <si>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</si>
  <si>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</si>
  <si>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</si>
  <si>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</si>
  <si>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</si>
  <si>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</si>
  <si>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</si>
  <si>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</si>
  <si>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</si>
  <si>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</si>
  <si>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</si>
  <si>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</si>
  <si>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</si>
  <si>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</si>
  <si>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</si>
  <si>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</si>
  <si>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</si>
  <si>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</si>
  <si>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</si>
  <si>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</si>
  <si>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</si>
  <si>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</si>
  <si>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</si>
  <si>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</si>
  <si>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</si>
  <si>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</si>
  <si>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</si>
  <si>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</si>
  <si>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</si>
  <si>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</si>
  <si>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</si>
  <si>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</si>
  <si>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</si>
  <si>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</si>
  <si>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</si>
  <si>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</si>
  <si>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</si>
  <si>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</si>
  <si>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</si>
  <si>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</si>
  <si>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</si>
  <si>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</si>
  <si>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</si>
  <si>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</si>
  <si>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</si>
  <si>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</si>
  <si>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</si>
  <si>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</si>
  <si>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</si>
  <si>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</si>
  <si>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</si>
  <si>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</si>
  <si>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</si>
  <si>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</si>
  <si>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</si>
  <si>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</si>
  <si>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</si>
  <si>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</si>
  <si>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</si>
  <si>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</si>
  <si>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</si>
  <si>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</si>
  <si>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</si>
  <si>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</si>
  <si>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</si>
  <si>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</si>
  <si>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</si>
  <si>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</si>
  <si>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</si>
  <si>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</si>
  <si>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</si>
  <si>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</si>
  <si>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</si>
  <si>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</si>
  <si>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</si>
  <si>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</si>
  <si>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</si>
  <si>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</si>
  <si>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</si>
  <si>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</si>
  <si>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</si>
  <si>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</si>
  <si>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</si>
  <si>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</si>
  <si>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</si>
  <si>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</si>
  <si>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</si>
  <si>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</si>
  <si>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</si>
  <si>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</si>
  <si>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</si>
  <si>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</si>
  <si>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</si>
  <si>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</si>
  <si>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</si>
  <si>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</si>
  <si>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</si>
  <si>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</si>
  <si>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</si>
  <si>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</si>
  <si>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</si>
  <si>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</si>
  <si>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</si>
  <si>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</si>
  <si>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</si>
  <si>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</si>
  <si>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</si>
  <si>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</si>
  <si>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</si>
  <si>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</si>
  <si>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</si>
  <si>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</si>
  <si>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</si>
  <si>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</si>
  <si>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</si>
  <si>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</si>
  <si>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</si>
  <si>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</si>
  <si>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</si>
  <si>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</si>
  <si>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</si>
  <si>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</si>
  <si>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</si>
  <si>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</si>
  <si>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</si>
  <si>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</si>
  <si>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</si>
  <si>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</si>
  <si>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</si>
  <si>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</si>
  <si>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</si>
  <si>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</si>
  <si>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</si>
  <si>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</si>
  <si>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</si>
  <si>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</si>
  <si>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</si>
  <si>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</si>
  <si>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</si>
  <si>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</si>
  <si>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</si>
  <si>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</si>
  <si>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</si>
  <si>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</si>
  <si>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</si>
  <si>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</si>
  <si>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</si>
  <si>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</si>
  <si>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</si>
  <si>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</si>
  <si>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</si>
  <si>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</si>
  <si>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</si>
  <si>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</si>
  <si>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</si>
  <si>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</si>
  <si>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</si>
  <si>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</si>
  <si>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</si>
  <si>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</si>
  <si>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</si>
  <si>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</si>
  <si>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</si>
  <si>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</si>
  <si>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</si>
  <si>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</si>
  <si>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</si>
  <si>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</si>
  <si>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</si>
  <si>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</si>
  <si>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</si>
  <si>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</si>
  <si>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</si>
  <si>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</si>
  <si>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</si>
  <si>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</si>
  <si>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</si>
  <si>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</si>
  <si>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</si>
  <si>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</si>
  <si>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</si>
  <si>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</si>
  <si>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</si>
  <si>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</si>
  <si>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</si>
  <si>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</si>
  <si>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</si>
  <si>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</si>
  <si>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</si>
  <si>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</si>
  <si>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</si>
  <si>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</si>
  <si>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</si>
  <si>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</si>
  <si>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</si>
  <si>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</si>
  <si>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</si>
  <si>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</si>
  <si>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</si>
  <si>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</si>
  <si>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</si>
  <si>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</si>
  <si>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</si>
  <si>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</si>
  <si>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</si>
  <si>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</si>
  <si>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</si>
  <si>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</si>
  <si>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</si>
  <si>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</si>
  <si>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</si>
  <si>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</si>
  <si>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</si>
  <si>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</si>
  <si>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</si>
  <si>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</si>
  <si>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</si>
  <si>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</si>
  <si>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</si>
  <si>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</si>
  <si>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</si>
  <si>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</si>
  <si>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</si>
  <si>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</si>
  <si>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</si>
  <si>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</si>
  <si>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</si>
  <si>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</si>
  <si>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</si>
  <si>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</si>
  <si>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</si>
  <si>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</si>
  <si>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</si>
  <si>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</si>
  <si>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</si>
  <si>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</si>
  <si>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</si>
  <si>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</si>
  <si>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</si>
  <si>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</si>
  <si>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</si>
  <si>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</si>
  <si>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</si>
  <si>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</si>
  <si>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</si>
  <si>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</si>
  <si>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</si>
  <si>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</si>
  <si>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</si>
  <si>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</si>
  <si>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</si>
  <si>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</si>
  <si>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</si>
  <si>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</si>
  <si>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</si>
  <si>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</si>
  <si>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</si>
  <si>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</si>
  <si>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</si>
  <si>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</si>
  <si>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</si>
  <si>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</si>
  <si>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</si>
  <si>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</si>
  <si>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</si>
  <si>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</si>
  <si>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</si>
  <si>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</si>
  <si>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</si>
  <si>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</si>
  <si>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</si>
  <si>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</si>
  <si>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</si>
  <si>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</si>
  <si>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</si>
  <si>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</si>
  <si>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</si>
  <si>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</si>
  <si>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</si>
  <si>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</si>
  <si>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</si>
  <si>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</si>
  <si>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</si>
  <si>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</si>
  <si>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</si>
  <si>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</si>
  <si>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</si>
  <si>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</si>
  <si>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</si>
  <si>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</si>
  <si>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</si>
  <si>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</si>
  <si>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</si>
  <si>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</si>
  <si>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</si>
  <si>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</si>
  <si>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</si>
  <si>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</si>
  <si>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</si>
  <si>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</si>
  <si>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</si>
  <si>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</si>
  <si>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</si>
  <si>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</si>
  <si>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</si>
  <si>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</si>
  <si>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</si>
  <si>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</si>
  <si>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</si>
  <si>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</si>
  <si>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</si>
  <si>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</si>
  <si>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</si>
  <si>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</si>
  <si>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</si>
  <si>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</si>
  <si>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</si>
  <si>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</si>
  <si>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</si>
  <si>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</si>
  <si>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</si>
  <si>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</si>
  <si>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</si>
  <si>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</si>
  <si>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</si>
  <si>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</si>
  <si>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</si>
  <si>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</si>
  <si>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</si>
  <si>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</si>
  <si>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</si>
  <si>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</si>
  <si>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</si>
  <si>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</si>
  <si>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</si>
  <si>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</si>
  <si>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</si>
  <si>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</si>
  <si>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</si>
  <si>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</si>
  <si>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</si>
  <si>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</si>
  <si>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</si>
  <si>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</si>
  <si>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</si>
  <si>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</si>
  <si>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</si>
  <si>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</si>
  <si>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</si>
  <si>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</si>
  <si>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</si>
  <si>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</si>
  <si>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</si>
  <si>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</si>
  <si>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</si>
  <si>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</si>
  <si>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</si>
  <si>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</si>
  <si>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</si>
  <si>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</si>
  <si>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</si>
  <si>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</si>
  <si>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</si>
  <si>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</si>
  <si>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</si>
  <si>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</si>
  <si>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</si>
  <si>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</si>
  <si>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</si>
  <si>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</si>
  <si>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</si>
  <si>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</si>
  <si>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</si>
  <si>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</si>
  <si>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</si>
  <si>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</si>
  <si>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</si>
  <si>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</si>
  <si>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</si>
  <si>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</si>
  <si>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</si>
  <si>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</si>
  <si>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</si>
  <si>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</si>
  <si>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</si>
  <si>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</si>
  <si>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</si>
  <si>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</si>
  <si>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</si>
  <si>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</si>
  <si>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</si>
  <si>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</si>
  <si>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</si>
  <si>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</si>
  <si>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</si>
  <si>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</si>
  <si>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</si>
  <si>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</si>
  <si>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</si>
  <si>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</si>
  <si>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</si>
  <si>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</si>
  <si>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</si>
  <si>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</si>
  <si>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</si>
  <si>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</si>
  <si>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</si>
  <si>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</si>
  <si>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</si>
  <si>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</si>
  <si>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</si>
  <si>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</si>
  <si>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</si>
  <si>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</si>
  <si>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</si>
  <si>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</si>
  <si>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</si>
  <si>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</si>
  <si>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</si>
  <si>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</si>
  <si>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</si>
  <si>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</si>
  <si>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</si>
  <si>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</si>
  <si>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</si>
  <si>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</si>
  <si>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</si>
  <si>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</si>
  <si>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</si>
  <si>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</si>
  <si>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</si>
  <si>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</si>
  <si>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</si>
  <si>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</si>
  <si>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</si>
  <si>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</si>
  <si>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</si>
  <si>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</si>
  <si>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</si>
  <si>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</si>
  <si>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</si>
  <si>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</si>
  <si>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</si>
  <si>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</si>
  <si>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</si>
  <si>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</si>
  <si>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</si>
  <si>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</si>
  <si>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</si>
  <si>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</si>
  <si>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</si>
  <si>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</si>
  <si>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</si>
  <si>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</si>
  <si>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</si>
  <si>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</si>
  <si>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</si>
  <si>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</si>
  <si>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</si>
  <si>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</si>
  <si>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</si>
  <si>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</si>
  <si>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</si>
  <si>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</si>
  <si>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</si>
  <si>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</si>
  <si>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</si>
  <si>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</si>
  <si>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</si>
  <si>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</si>
  <si>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</si>
  <si>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</si>
  <si>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</si>
  <si>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</si>
  <si>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</si>
  <si>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</si>
  <si>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</si>
  <si>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</si>
  <si>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</si>
  <si>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</si>
  <si>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</si>
  <si>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</si>
  <si>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</si>
  <si>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</si>
  <si>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</si>
  <si>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</si>
  <si>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</si>
  <si>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</si>
  <si>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</si>
  <si>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</si>
  <si>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</si>
  <si>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</si>
  <si>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</si>
  <si>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</si>
  <si>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</si>
  <si>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</si>
  <si>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</si>
  <si>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</si>
  <si>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</si>
  <si>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</si>
  <si>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</si>
  <si>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</si>
  <si>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</si>
  <si>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</si>
  <si>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</si>
  <si>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</si>
  <si>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</si>
  <si>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</si>
  <si>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</si>
  <si>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</si>
  <si>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</si>
  <si>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</si>
  <si>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</si>
  <si>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</si>
  <si>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</si>
  <si>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</si>
  <si>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</si>
  <si>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</si>
  <si>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</si>
  <si>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</si>
  <si>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</si>
  <si>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</si>
  <si>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</si>
  <si>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</si>
  <si>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</si>
  <si>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</si>
  <si>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</si>
  <si>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</si>
  <si>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</si>
  <si>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</si>
  <si>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</si>
  <si>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</si>
  <si>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</si>
  <si>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</si>
  <si>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</si>
  <si>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</si>
  <si>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</si>
  <si>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</si>
  <si>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</si>
  <si>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</si>
  <si>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</si>
  <si>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</si>
  <si>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</si>
  <si>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</si>
  <si>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</si>
  <si>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</si>
  <si>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</si>
  <si>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</si>
  <si>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</si>
  <si>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</si>
  <si>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</si>
  <si>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</si>
  <si>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</si>
  <si>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</si>
  <si>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</si>
  <si>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</si>
  <si>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</si>
  <si>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</si>
  <si>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</si>
  <si>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</si>
  <si>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</si>
  <si>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</si>
  <si>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</si>
  <si>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</si>
  <si>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</si>
  <si>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</si>
  <si>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</si>
  <si>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</si>
  <si>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</si>
  <si>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</si>
  <si>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</si>
  <si>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</si>
  <si>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</si>
  <si>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</si>
  <si>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</si>
  <si>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</si>
  <si>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</si>
  <si>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</si>
  <si>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</si>
  <si>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</si>
  <si>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</si>
  <si>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</si>
  <si>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</si>
  <si>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</si>
  <si>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</si>
  <si>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</si>
  <si>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</si>
  <si>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</si>
  <si>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</si>
  <si>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</si>
  <si>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</si>
  <si>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</si>
  <si>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</si>
  <si>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</si>
  <si>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</si>
  <si>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</si>
  <si>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</si>
  <si>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</si>
  <si>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</si>
  <si>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</si>
  <si>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</si>
  <si>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</si>
  <si>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</si>
  <si>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</si>
  <si>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</si>
  <si>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</si>
  <si>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</si>
  <si>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</si>
  <si>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</si>
  <si>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</si>
  <si>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</si>
  <si>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</si>
  <si>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</si>
  <si>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</si>
  <si>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</si>
  <si>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</si>
  <si>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</si>
  <si>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</si>
  <si>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</si>
  <si>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</si>
  <si>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</si>
  <si>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</si>
  <si>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</si>
  <si>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</si>
  <si>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</si>
  <si>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</si>
  <si>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</si>
  <si>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</si>
  <si>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</si>
  <si>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</si>
  <si>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</si>
  <si>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</si>
  <si>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</si>
  <si>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</si>
  <si>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</si>
  <si>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</si>
  <si>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</si>
  <si>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</si>
  <si>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</si>
  <si>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</si>
  <si>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</si>
  <si>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</si>
  <si>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</si>
  <si>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</si>
  <si>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</si>
  <si>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</si>
  <si>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</si>
  <si>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</si>
  <si>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</si>
  <si>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</si>
  <si>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</si>
  <si>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</si>
  <si>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</si>
  <si>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</si>
  <si>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</si>
  <si>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</si>
  <si>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</si>
  <si>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</si>
  <si>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</si>
  <si>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</si>
  <si>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</si>
  <si>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</si>
  <si>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</si>
  <si>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</si>
  <si>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</si>
  <si>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</si>
  <si>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</si>
  <si>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</si>
  <si>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</si>
  <si>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</si>
  <si>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</si>
  <si>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</si>
  <si>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</si>
  <si>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</si>
  <si>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</si>
  <si>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</si>
  <si>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</si>
  <si>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</si>
  <si>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</si>
  <si>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</si>
  <si>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</si>
  <si>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</si>
  <si>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</si>
  <si>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</si>
  <si>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</si>
  <si>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</si>
  <si>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</si>
  <si>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</si>
  <si>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</si>
  <si>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</si>
  <si>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</si>
  <si>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</si>
  <si>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</si>
  <si>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</si>
  <si>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</si>
  <si>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</si>
  <si>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</si>
  <si>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</si>
  <si>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</si>
  <si>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</si>
  <si>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</si>
  <si>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</si>
  <si>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</si>
  <si>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</si>
  <si>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</si>
  <si>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</si>
  <si>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</si>
  <si>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</si>
  <si>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</si>
  <si>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</si>
  <si>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</si>
  <si>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</si>
  <si>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</si>
  <si>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</si>
  <si>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</si>
  <si>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</si>
  <si>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</si>
  <si>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</si>
  <si>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</si>
  <si>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</si>
  <si>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</si>
  <si>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</si>
  <si>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</si>
  <si>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</si>
  <si>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</si>
  <si>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</si>
  <si>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</si>
  <si>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</si>
  <si>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</si>
  <si>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</si>
  <si>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</si>
  <si>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</si>
  <si>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</si>
  <si>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</si>
  <si>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</si>
  <si>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</si>
  <si>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</si>
  <si>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</si>
  <si>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</si>
  <si>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</si>
  <si>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</si>
  <si>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</si>
  <si>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</si>
  <si>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</si>
  <si>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</si>
  <si>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</si>
  <si>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</si>
  <si>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</si>
  <si>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</si>
  <si>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</si>
  <si>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</si>
  <si>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</si>
  <si>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</si>
  <si>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</si>
  <si>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</si>
  <si>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</si>
  <si>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</si>
  <si>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</si>
  <si>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</si>
  <si>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</si>
  <si>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</si>
  <si>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</si>
  <si>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</si>
  <si>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</si>
  <si>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</si>
  <si>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</si>
  <si>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</si>
  <si>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</si>
  <si>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</si>
  <si>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</si>
  <si>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</si>
  <si>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</si>
  <si>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</si>
  <si>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</si>
  <si>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</si>
  <si>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</si>
  <si>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</si>
  <si>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</si>
  <si>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</si>
  <si>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</si>
  <si>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</si>
  <si>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</si>
  <si>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</si>
  <si>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</si>
  <si>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</si>
  <si>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</si>
  <si>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</si>
  <si>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</si>
  <si>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</si>
  <si>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</si>
  <si>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</si>
  <si>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</si>
  <si>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</si>
  <si>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</si>
  <si>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</si>
  <si>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</si>
  <si>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</si>
  <si>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</si>
  <si>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</si>
  <si>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</si>
  <si>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</si>
  <si>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</si>
  <si>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</si>
  <si>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</si>
  <si>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</si>
  <si>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</si>
  <si>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</si>
  <si>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</si>
  <si>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</si>
  <si>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</si>
  <si>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</si>
  <si>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</si>
  <si>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</si>
  <si>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</si>
  <si>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</si>
  <si>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</si>
  <si>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</si>
  <si>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</si>
  <si>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</si>
  <si>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</si>
  <si>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</si>
  <si>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</si>
  <si>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</si>
  <si>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</si>
  <si>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</si>
  <si>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</si>
  <si>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</si>
  <si>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</si>
  <si>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</si>
  <si>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</si>
  <si>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</si>
  <si>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</si>
  <si>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</si>
  <si>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</si>
  <si>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</si>
  <si>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</si>
  <si>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</si>
  <si>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</si>
  <si>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</si>
  <si>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</si>
  <si>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</si>
  <si>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</si>
  <si>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</si>
  <si>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</si>
  <si>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</si>
  <si>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</si>
  <si>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</si>
  <si>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</si>
  <si>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</si>
  <si>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</si>
  <si>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</si>
  <si>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</si>
  <si>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</si>
  <si>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</si>
  <si>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</si>
  <si>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</si>
  <si>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</si>
  <si>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</si>
  <si>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</si>
  <si>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</si>
  <si>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</si>
  <si>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</si>
  <si>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</si>
  <si>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</si>
  <si>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</si>
  <si>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</si>
  <si>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</si>
  <si>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</si>
  <si>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</si>
  <si>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</si>
  <si>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</si>
  <si>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</si>
  <si>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</si>
  <si>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</si>
  <si>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</si>
  <si>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</si>
  <si>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</si>
  <si>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</si>
  <si>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</si>
  <si>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</si>
  <si>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</si>
  <si>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</si>
  <si>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</si>
  <si>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</si>
  <si>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</si>
  <si>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</si>
  <si>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</si>
  <si>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</si>
  <si>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</si>
  <si>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</si>
  <si>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</si>
  <si>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</si>
  <si>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</si>
  <si>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</si>
  <si>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</si>
  <si>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</si>
  <si>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</si>
  <si>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</si>
  <si>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</si>
  <si>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</si>
  <si>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</si>
  <si>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</si>
  <si>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</si>
  <si>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</si>
  <si>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</si>
  <si>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</si>
  <si>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</si>
  <si>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</si>
  <si>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</si>
  <si>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</si>
  <si>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</si>
  <si>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</si>
  <si>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</si>
  <si>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</si>
  <si>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</si>
  <si>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</si>
  <si>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</si>
  <si>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</si>
  <si>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</si>
  <si>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</si>
  <si>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</si>
  <si>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</si>
  <si>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</si>
  <si>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</si>
  <si>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</si>
  <si>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</si>
  <si>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</si>
  <si>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</si>
  <si>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</si>
  <si>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</si>
  <si>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</si>
  <si>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</si>
  <si>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</si>
  <si>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</si>
  <si>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</si>
  <si>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</si>
  <si>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</si>
  <si>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</si>
  <si>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</si>
  <si>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</si>
  <si>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</si>
  <si>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</si>
  <si>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</si>
  <si>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</si>
  <si>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</si>
  <si>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</si>
  <si>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</si>
  <si>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</si>
  <si>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</si>
  <si>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</si>
  <si>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</si>
  <si>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</si>
  <si>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</si>
  <si>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</si>
  <si>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</si>
  <si>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</si>
  <si>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</si>
  <si>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</si>
  <si>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</si>
  <si>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</si>
  <si>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</si>
  <si>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</si>
  <si>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</si>
  <si>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</si>
  <si>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</si>
  <si>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</si>
  <si>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</si>
  <si>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</si>
  <si>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</si>
  <si>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</si>
  <si>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</si>
  <si>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</si>
  <si>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</si>
  <si>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</si>
  <si>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</si>
  <si>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</si>
  <si>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</si>
  <si>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</si>
  <si>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</si>
  <si>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</si>
  <si>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</si>
  <si>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</si>
  <si>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</si>
  <si>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</si>
  <si>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</si>
  <si>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</si>
  <si>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</si>
  <si>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</si>
  <si>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</si>
  <si>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</si>
  <si>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</si>
  <si>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</si>
  <si>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</si>
  <si>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</si>
  <si>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</si>
  <si>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</si>
  <si>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</si>
  <si>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</si>
  <si>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</si>
  <si>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</si>
  <si>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</si>
  <si>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</si>
  <si>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</si>
  <si>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</si>
  <si>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</si>
  <si>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</si>
  <si>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</si>
  <si>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</si>
  <si>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</si>
  <si>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</si>
  <si>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</si>
  <si>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</si>
  <si>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</si>
  <si>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</si>
  <si>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</si>
  <si>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</si>
  <si>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</si>
  <si>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</si>
  <si>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</si>
  <si>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</si>
  <si>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</si>
  <si>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</si>
  <si>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</si>
  <si>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</si>
  <si>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</si>
  <si>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</si>
  <si>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</si>
  <si>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</si>
  <si>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</si>
  <si>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</si>
  <si>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</si>
  <si>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</si>
  <si>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</si>
  <si>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</si>
  <si>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</si>
  <si>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</si>
  <si>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</si>
  <si>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</si>
  <si>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</si>
  <si>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</si>
  <si>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</si>
  <si>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</si>
  <si>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</si>
  <si>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</si>
  <si>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</si>
  <si>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</si>
  <si>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</si>
  <si>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</si>
  <si>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</si>
  <si>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</si>
  <si>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</si>
  <si>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</si>
  <si>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</si>
  <si>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</si>
  <si>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</si>
  <si>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</si>
  <si>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</si>
  <si>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</si>
  <si>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</si>
  <si>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</si>
  <si>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</si>
  <si>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</si>
  <si>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</si>
  <si>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</si>
  <si>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</si>
  <si>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</si>
  <si>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</si>
  <si>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</si>
  <si>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</si>
  <si>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</si>
  <si>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</si>
  <si>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</si>
  <si>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</si>
  <si>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</si>
  <si>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</si>
  <si>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</si>
  <si>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</si>
  <si>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</si>
  <si>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</si>
  <si>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</si>
  <si>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</si>
  <si>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</si>
  <si>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</si>
  <si>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</si>
  <si>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</si>
  <si>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</si>
  <si>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</si>
  <si>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</si>
  <si>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</si>
  <si>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</si>
  <si>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</si>
  <si>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</si>
  <si>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</si>
  <si>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</si>
  <si>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</si>
  <si>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</si>
  <si>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</si>
  <si>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</si>
  <si>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</si>
  <si>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</si>
  <si>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</si>
  <si>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</si>
  <si>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</si>
  <si>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</si>
  <si>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</si>
  <si>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</si>
  <si>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</si>
  <si>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</si>
  <si>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</si>
  <si>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</si>
  <si>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</si>
  <si>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</si>
  <si>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</si>
  <si>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</si>
  <si>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</si>
  <si>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</si>
  <si>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</si>
  <si>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</si>
  <si>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</si>
  <si>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</si>
  <si>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</si>
  <si>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</si>
  <si>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</si>
  <si>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</si>
  <si>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</si>
  <si>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</si>
  <si>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</si>
  <si>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</si>
  <si>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</si>
  <si>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</si>
  <si>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</si>
  <si>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</si>
  <si>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</si>
  <si>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</si>
  <si>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</si>
  <si>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</si>
  <si>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</si>
  <si>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</si>
  <si>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</si>
  <si>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</si>
  <si>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</si>
  <si>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</si>
  <si>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</si>
  <si>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</si>
  <si>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</si>
  <si>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</si>
  <si>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</si>
  <si>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</si>
  <si>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</si>
  <si>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</si>
  <si>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</si>
  <si>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</si>
  <si>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</si>
  <si>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</si>
  <si>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</si>
  <si>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</si>
  <si>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</si>
  <si>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</si>
  <si>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</si>
  <si>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</si>
  <si>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</si>
  <si>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</si>
  <si>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</si>
  <si>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</si>
  <si>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</si>
  <si>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</si>
  <si>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</si>
  <si>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</si>
  <si>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</si>
  <si>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</si>
  <si>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</si>
  <si>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</si>
  <si>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</si>
  <si>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</si>
  <si>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</si>
  <si>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</si>
  <si>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</si>
  <si>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</si>
  <si>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</si>
  <si>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</si>
  <si>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</si>
  <si>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</si>
  <si>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</si>
  <si>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</si>
  <si>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</si>
  <si>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</si>
  <si>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</si>
  <si>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</si>
  <si>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</si>
  <si>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</si>
  <si>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</si>
  <si>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</si>
  <si>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</si>
  <si>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</si>
  <si>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</si>
  <si>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</si>
  <si>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</si>
  <si>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</si>
  <si>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</si>
  <si>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</si>
  <si>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</si>
  <si>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</si>
  <si>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</si>
  <si>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</si>
  <si>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</si>
  <si>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</si>
  <si>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</si>
  <si>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</si>
  <si>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</si>
  <si>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</si>
  <si>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</si>
  <si>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</si>
  <si>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</si>
  <si>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</si>
  <si>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</si>
  <si>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</si>
  <si>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</si>
  <si>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</si>
  <si>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</si>
  <si>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</si>
  <si>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</si>
  <si>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</si>
  <si>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</si>
  <si>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</si>
  <si>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</si>
  <si>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</si>
  <si>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</si>
  <si>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</si>
  <si>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</si>
  <si>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</si>
  <si>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</si>
  <si>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</si>
  <si>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</si>
  <si>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</si>
  <si>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</si>
  <si>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</si>
  <si>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</si>
  <si>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</si>
  <si>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</si>
  <si>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</si>
  <si>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</si>
  <si>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</si>
  <si>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</si>
  <si>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</si>
  <si>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</si>
  <si>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</si>
  <si>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</si>
  <si>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</si>
  <si>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</si>
  <si>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</si>
  <si>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</si>
  <si>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</si>
  <si>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</si>
  <si>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</si>
  <si>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</si>
  <si>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</si>
  <si>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</si>
  <si>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</si>
  <si>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</si>
  <si>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</si>
  <si>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</si>
  <si>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</si>
  <si>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</si>
  <si>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</si>
  <si>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</si>
  <si>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</si>
  <si>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</si>
  <si>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</si>
  <si>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</si>
  <si>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</si>
  <si>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</si>
  <si>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</si>
  <si>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</si>
  <si>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</si>
  <si>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</si>
  <si>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</si>
  <si>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</si>
  <si>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</si>
  <si>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</si>
  <si>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</si>
  <si>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</si>
  <si>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</si>
  <si>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</si>
  <si>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</si>
  <si>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</si>
  <si>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</si>
  <si>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</si>
  <si>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</si>
  <si>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</si>
  <si>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</si>
  <si>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</si>
  <si>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</si>
  <si>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</si>
  <si>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</si>
  <si>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</si>
  <si>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</si>
  <si>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</si>
  <si>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</si>
  <si>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</si>
  <si>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</si>
  <si>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</si>
  <si>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</si>
  <si>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</si>
  <si>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</si>
  <si>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</si>
  <si>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</si>
  <si>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</si>
  <si>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</si>
  <si>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</si>
  <si>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</si>
  <si>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</si>
  <si>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</si>
  <si>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</si>
  <si>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HARTING Stiftung &amp; Co. KG</t>
  </si>
  <si>
    <t>All products sites of HARTING Technology group</t>
  </si>
  <si>
    <t>388190159</t>
  </si>
  <si>
    <t>D-32339 Espelkamp; Marienwerderstraße 3 - GERMANY</t>
  </si>
  <si>
    <t>Achim Schier</t>
  </si>
  <si>
    <t>declarations@HARTING.com</t>
  </si>
  <si>
    <t>+495772470</t>
  </si>
  <si>
    <t>Achim schier</t>
  </si>
  <si>
    <t>Manager Material Compliance</t>
  </si>
  <si>
    <t>code of conduct: https://www.harting.com/de-DE/download-documents#query=code%2520of%2520conduct</t>
  </si>
  <si>
    <t>part of German: Gesetz über die unternehmerischen Sorgfaltspflichten zur Vermeidung von Menschenrechtsverletzungen in Lieferketten (Lieferkettensorgfaltspflichtengesetz - LkSG)</t>
  </si>
  <si>
    <t>concentrations below 0,1% in the related articles aren't taken into consideration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</si>
</sst>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4" fillId="45" borderId="56" xfId="0" applyFont="1" applyFill="1" applyBorder="1" applyAlignment="1" applyProtection="1">
      <alignment horizontal="left" vertical="center" wrapText="1"/>
      <protection locked="0"/>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30" applyFont="1" applyFill="1" applyAlignment="1" applyProtection="1">
      <alignment horizontal="center"/>
      <protection hidden="1"/>
    </xf>
    <xf numFmtId="0" fontId="23" fillId="0" borderId="0" xfId="830"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30"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30" applyFont="1" applyFill="1" applyBorder="1" applyAlignment="1" applyProtection="1">
      <alignment vertical="center" wrapText="1"/>
      <protection hidden="1"/>
    </xf>
    <xf numFmtId="0" fontId="77" fillId="0" borderId="18" xfId="830"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30" applyFont="1" applyFill="1" applyAlignment="1" applyProtection="1">
      <alignment horizontal="center"/>
      <protection hidden="1"/>
    </xf>
    <xf numFmtId="0" fontId="37" fillId="45" borderId="30" xfId="830" applyFont="1" applyFill="1" applyBorder="1" applyAlignment="1" applyProtection="1">
      <alignment horizontal="left" vertical="center"/>
      <protection hidden="1"/>
    </xf>
    <xf numFmtId="0" fontId="38" fillId="45" borderId="0" xfId="830" applyFont="1" applyFill="1" applyAlignment="1" applyProtection="1">
      <alignment vertical="center"/>
    </xf>
    <xf numFmtId="0" fontId="38" fillId="45" borderId="0" xfId="830" applyFont="1" applyFill="1" applyBorder="1" applyAlignment="1" applyProtection="1">
      <alignment horizontal="center" vertical="center"/>
      <protection hidden="1"/>
    </xf>
    <xf numFmtId="0" fontId="39" fillId="0" borderId="25" xfId="830"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30"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30"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30"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30"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30"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30"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30"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30" applyFont="1" applyFill="1" applyBorder="1" applyAlignment="1" applyProtection="1">
      <alignment horizontal="left" vertical="center" wrapText="1"/>
    </xf>
    <xf numFmtId="0" fontId="18" fillId="82" borderId="27" xfId="830"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30" applyBorder="1" applyAlignment="1" applyProtection="1">
      <alignment vertical="center" wrapText="1"/>
      <protection hidden="1"/>
    </xf>
    <xf numFmtId="0" fontId="114" fillId="0" borderId="18" xfId="830" quotePrefix="1" applyBorder="1" applyAlignment="1" applyProtection="1">
      <alignment vertical="center" wrapText="1"/>
      <protection hidden="1"/>
    </xf>
    <xf numFmtId="0" fontId="114" fillId="0" borderId="18" xfId="830" applyBorder="1" applyAlignment="1" applyProtection="1">
      <alignment vertical="center" wrapText="1"/>
      <protection locked="0"/>
    </xf>
    <xf numFmtId="0" fontId="114" fillId="0" borderId="18" xfId="830" applyFill="1" applyBorder="1" applyAlignment="1" applyProtection="1">
      <alignment vertical="center" wrapText="1"/>
      <protection locked="0"/>
    </xf>
    <xf numFmtId="0" fontId="114" fillId="0" borderId="0" xfId="830" applyAlignment="1" applyProtection="1">
      <alignment vertical="center"/>
      <protection locked="0"/>
    </xf>
    <xf numFmtId="0" fontId="114" fillId="0" borderId="18" xfId="830" applyBorder="1" applyAlignment="1" applyProtection="1">
      <alignment vertical="center"/>
      <protection locked="0"/>
    </xf>
    <xf numFmtId="0" fontId="114" fillId="0" borderId="18" xfId="830" applyBorder="1" applyProtection="1">
      <protection locked="0"/>
    </xf>
    <xf numFmtId="1" fontId="0" fillId="19" borderId="0" xfId="0" applyNumberFormat="1" applyFill="1" applyProtection="1">
      <protection hidden="1"/>
    </xf>
    <xf numFmtId="0" fontId="82" fillId="0" borderId="0" xfId="828" applyAlignment="1" applyProtection="1">
      <alignment wrapText="1"/>
      <protection hidden="1"/>
    </xf>
    <xf numFmtId="0" fontId="15" fillId="0" borderId="45" xfId="828" applyFont="1" applyBorder="1" applyAlignment="1" applyProtection="1">
      <alignment vertical="center" wrapText="1"/>
      <protection hidden="1"/>
    </xf>
    <xf numFmtId="0" fontId="14" fillId="45" borderId="26" xfId="828" applyFont="1" applyFill="1" applyBorder="1" applyAlignment="1" applyProtection="1">
      <alignment vertical="center" wrapText="1"/>
      <protection hidden="1"/>
    </xf>
    <xf numFmtId="0" fontId="14" fillId="45" borderId="65" xfId="828" applyFont="1" applyFill="1" applyBorder="1" applyAlignment="1" applyProtection="1">
      <alignment vertical="center" wrapText="1"/>
      <protection hidden="1"/>
    </xf>
    <xf numFmtId="0" fontId="14" fillId="45" borderId="0" xfId="828" applyFont="1" applyFill="1" applyAlignment="1" applyProtection="1">
      <alignment vertical="center" wrapText="1"/>
      <protection hidden="1"/>
    </xf>
    <xf numFmtId="0" fontId="41" fillId="45" borderId="34" xfId="828" applyFont="1" applyFill="1" applyBorder="1" applyAlignment="1" applyProtection="1">
      <alignment horizontal="center" vertical="center" wrapText="1"/>
      <protection hidden="1"/>
    </xf>
    <xf numFmtId="0" fontId="41" fillId="45" borderId="0" xfId="828" applyFont="1" applyFill="1" applyAlignment="1" applyProtection="1">
      <alignment horizontal="center" vertical="center" wrapText="1"/>
      <protection hidden="1"/>
    </xf>
    <xf numFmtId="0" fontId="42" fillId="45" borderId="0" xfId="828" applyFont="1" applyFill="1" applyAlignment="1" applyProtection="1">
      <alignment horizontal="center" vertical="center" wrapText="1"/>
      <protection hidden="1"/>
    </xf>
    <xf numFmtId="0" fontId="17" fillId="0" borderId="76" xfId="828" applyFont="1" applyBorder="1" applyAlignment="1" applyProtection="1">
      <alignment horizontal="center" vertical="center" wrapText="1"/>
      <protection hidden="1"/>
    </xf>
    <xf numFmtId="0" fontId="17" fillId="45" borderId="0" xfId="828" applyFont="1" applyFill="1" applyAlignment="1" applyProtection="1">
      <alignment horizontal="center" vertical="center" wrapText="1"/>
      <protection hidden="1"/>
    </xf>
    <xf numFmtId="0" fontId="14" fillId="0" borderId="0" xfId="828" applyFont="1" applyAlignment="1" applyProtection="1">
      <alignment horizontal="center" vertical="center" wrapText="1"/>
      <protection hidden="1"/>
    </xf>
    <xf numFmtId="0" fontId="82" fillId="0" borderId="0" xfId="828" applyAlignment="1" applyProtection="1">
      <alignment horizontal="center" vertical="center" wrapText="1"/>
      <protection hidden="1"/>
    </xf>
    <xf numFmtId="0" fontId="82" fillId="0" borderId="46" xfId="828" applyBorder="1" applyAlignment="1" applyProtection="1">
      <alignment horizontal="left" vertical="center" wrapText="1"/>
      <protection locked="0" hidden="1"/>
    </xf>
    <xf numFmtId="0" fontId="82" fillId="45" borderId="66" xfId="828" applyFill="1" applyBorder="1" applyAlignment="1" applyProtection="1">
      <alignment horizontal="left" vertical="center" wrapText="1"/>
      <protection locked="0" hidden="1"/>
    </xf>
    <xf numFmtId="0" fontId="82" fillId="0" borderId="18" xfId="828" applyBorder="1" applyAlignment="1" applyProtection="1">
      <alignment wrapText="1"/>
      <protection locked="0"/>
    </xf>
    <xf numFmtId="0" fontId="82" fillId="45" borderId="18" xfId="828" applyFill="1" applyBorder="1" applyAlignment="1" applyProtection="1">
      <alignment horizontal="left" vertical="center" wrapText="1"/>
      <protection locked="0"/>
    </xf>
    <xf numFmtId="0" fontId="27" fillId="0" borderId="0" xfId="828" applyFont="1" applyAlignment="1" applyProtection="1">
      <alignment vertical="center" wrapText="1"/>
      <protection locked="0"/>
    </xf>
    <xf numFmtId="0" fontId="82" fillId="0" borderId="0" xfId="828" applyAlignment="1" applyProtection="1">
      <alignment wrapText="1"/>
      <protection locked="0"/>
    </xf>
    <xf numFmtId="0" fontId="82" fillId="0" borderId="46" xfId="828" applyBorder="1" applyAlignment="1" applyProtection="1">
      <alignment wrapText="1"/>
      <protection locked="0"/>
    </xf>
    <xf numFmtId="0" fontId="82" fillId="0" borderId="77" xfId="828" applyBorder="1" applyAlignment="1" applyProtection="1">
      <alignment horizontal="left" vertical="center" wrapText="1"/>
      <protection locked="0" hidden="1"/>
    </xf>
    <xf numFmtId="0" fontId="82" fillId="45" borderId="78" xfId="828" applyFill="1" applyBorder="1" applyAlignment="1" applyProtection="1">
      <alignment horizontal="left" vertical="center" wrapText="1"/>
      <protection locked="0" hidden="1"/>
    </xf>
    <xf numFmtId="0" fontId="82" fillId="0" borderId="77" xfId="828" applyBorder="1" applyAlignment="1" applyProtection="1">
      <alignment wrapText="1"/>
      <protection locked="0"/>
    </xf>
    <xf numFmtId="0" fontId="82" fillId="0" borderId="0" xfId="828" applyAlignment="1">
      <alignment wrapText="1"/>
    </xf>
    <xf numFmtId="0" fontId="48" fillId="0" borderId="0" xfId="828" applyFont="1" applyAlignment="1">
      <alignment vertical="top" wrapText="1"/>
    </xf>
    <xf numFmtId="0" fontId="48" fillId="47" borderId="18" xfId="828" applyFont="1" applyFill="1" applyBorder="1" applyAlignment="1">
      <alignment vertical="center" wrapText="1"/>
    </xf>
    <xf numFmtId="0" fontId="48" fillId="0" borderId="0" xfId="506" applyFont="1" applyAlignment="1">
      <alignment horizontal="left" vertical="top" wrapText="1"/>
    </xf>
    <xf numFmtId="0" fontId="82" fillId="0" borderId="0" xfId="828" applyAlignment="1">
      <alignment vertical="top"/>
    </xf>
    <xf numFmtId="0" fontId="48" fillId="47" borderId="18" xfId="506" applyFont="1" applyFill="1" applyBorder="1" applyAlignment="1">
      <alignment vertical="top" wrapText="1"/>
    </xf>
    <xf numFmtId="0" fontId="48" fillId="0" borderId="0" xfId="828"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8"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8" applyBorder="1" applyAlignment="1" applyProtection="1">
      <alignment horizontal="left" vertical="center" wrapText="1"/>
      <protection locked="0" hidden="1"/>
    </xf>
    <xf numFmtId="0" fontId="82" fillId="45" borderId="19" xfId="828" applyFill="1" applyBorder="1" applyAlignment="1" applyProtection="1">
      <alignment horizontal="left" vertical="center" wrapText="1"/>
      <protection locked="0" hidden="1"/>
    </xf>
    <xf numFmtId="0" fontId="82" fillId="0" borderId="51" xfId="828" applyBorder="1" applyAlignment="1" applyProtection="1">
      <alignment wrapText="1"/>
      <protection locked="0"/>
    </xf>
    <xf numFmtId="0" fontId="17" fillId="0" borderId="80" xfId="828" applyFont="1" applyBorder="1" applyAlignment="1" applyProtection="1">
      <alignment horizontal="center" vertical="center" wrapText="1"/>
      <protection hidden="1"/>
    </xf>
    <xf numFmtId="0" fontId="17" fillId="0" borderId="81" xfId="828" applyFont="1" applyBorder="1" applyAlignment="1" applyProtection="1">
      <alignment horizontal="center" vertical="center" wrapText="1"/>
      <protection hidden="1"/>
    </xf>
    <xf numFmtId="0" fontId="17" fillId="0" borderId="82" xfId="828"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30"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8" applyFont="1" applyAlignment="1">
      <alignment vertical="top" wrapText="1"/>
    </xf>
    <xf numFmtId="0" fontId="107" fillId="0" borderId="0" xfId="0" applyFont="1" applyAlignment="1">
      <alignment wrapText="1"/>
    </xf>
    <xf numFmtId="0" fontId="123" fillId="0" borderId="18" xfId="830" applyFont="1" applyBorder="1" applyAlignment="1" applyProtection="1">
      <alignment vertical="center" wrapText="1"/>
      <protection hidden="1"/>
    </xf>
    <xf numFmtId="0" fontId="124" fillId="0" borderId="18" xfId="830"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8"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30"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30" applyFont="1" applyFill="1" applyBorder="1" applyAlignment="1" applyProtection="1">
      <alignment horizontal="left" vertical="center" wrapText="1"/>
    </xf>
    <xf numFmtId="0" fontId="77" fillId="0" borderId="25" xfId="830" applyFont="1" applyFill="1" applyBorder="1" applyAlignment="1" applyProtection="1">
      <alignment horizontal="left" vertical="center" wrapText="1"/>
    </xf>
    <xf numFmtId="0" fontId="77" fillId="0" borderId="58" xfId="830" applyFont="1" applyFill="1" applyBorder="1" applyAlignment="1" applyProtection="1">
      <alignment horizontal="left" vertical="center" wrapText="1"/>
    </xf>
    <xf numFmtId="0" fontId="18" fillId="0" borderId="56" xfId="830"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30"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0" applyNumberFormat="1" applyFill="1" applyBorder="1" applyAlignment="1" applyProtection="1">
      <alignment horizontal="left" vertical="center" wrapText="1"/>
      <protection locked="0"/>
    </xf>
    <xf numFmtId="49" fontId="77" fillId="45" borderId="11" xfId="830" applyNumberFormat="1" applyFont="1" applyFill="1" applyBorder="1" applyAlignment="1" applyProtection="1">
      <alignment horizontal="left" vertical="center" wrapText="1"/>
      <protection locked="0"/>
    </xf>
    <xf numFmtId="49" fontId="77" fillId="45" borderId="33" xfId="830"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30" applyFont="1" applyFill="1" applyBorder="1" applyAlignment="1" applyProtection="1">
      <alignment horizontal="center" wrapText="1"/>
      <protection hidden="1"/>
    </xf>
    <xf numFmtId="49" fontId="78" fillId="45" borderId="56" xfId="830" applyNumberFormat="1" applyFont="1" applyFill="1" applyBorder="1" applyAlignment="1" applyProtection="1">
      <alignment horizontal="left" vertical="center" wrapText="1"/>
      <protection locked="0"/>
    </xf>
    <xf numFmtId="49" fontId="78" fillId="45" borderId="11" xfId="830" applyNumberFormat="1" applyFont="1" applyFill="1" applyBorder="1" applyAlignment="1" applyProtection="1">
      <alignment horizontal="left" vertical="center" wrapText="1"/>
      <protection locked="0"/>
    </xf>
    <xf numFmtId="49" fontId="78" fillId="45" borderId="33" xfId="830"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30"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0"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30"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30" applyFont="1" applyFill="1" applyBorder="1" applyAlignment="1" applyProtection="1">
      <alignment horizontal="center" vertical="center"/>
      <protection locked="0"/>
    </xf>
    <xf numFmtId="0" fontId="117" fillId="45" borderId="0" xfId="830"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8" applyFont="1" applyBorder="1" applyAlignment="1" applyProtection="1">
      <alignment horizontal="left" vertical="top" wrapText="1"/>
      <protection hidden="1"/>
    </xf>
    <xf numFmtId="0" fontId="44" fillId="45" borderId="34" xfId="829" applyFont="1" applyFill="1" applyBorder="1" applyAlignment="1" applyProtection="1">
      <alignment horizontal="center" vertical="center" wrapText="1"/>
      <protection hidden="1"/>
    </xf>
    <xf numFmtId="0" fontId="44" fillId="45" borderId="0" xfId="829" applyFont="1" applyFill="1" applyBorder="1" applyAlignment="1" applyProtection="1">
      <alignment horizontal="center" vertical="center" wrapText="1"/>
      <protection hidden="1"/>
    </xf>
    <xf numFmtId="0" fontId="115" fillId="0" borderId="0" xfId="828" applyFont="1" applyAlignment="1" applyProtection="1">
      <alignment horizontal="left" vertical="top" wrapText="1"/>
      <protection hidden="1"/>
    </xf>
    <xf numFmtId="0" fontId="14" fillId="45" borderId="0" xfId="828" applyFont="1" applyFill="1" applyAlignment="1" applyProtection="1">
      <alignment horizontal="center" wrapText="1"/>
      <protection hidden="1"/>
    </xf>
    <xf numFmtId="0" fontId="14" fillId="45" borderId="30" xfId="828" applyFont="1" applyFill="1" applyBorder="1" applyAlignment="1" applyProtection="1">
      <alignment horizontal="center" wrapText="1"/>
      <protection hidden="1"/>
    </xf>
    <xf numFmtId="0" fontId="22" fillId="45" borderId="0" xfId="830"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30" xr:uid="{00000000-0005-0000-0000-000029020000}"/>
    <cellStyle name="Hyperlink 2" xfId="492" xr:uid="{00000000-0005-0000-0000-00002A020000}"/>
    <cellStyle name="Hyperlink 2 2" xfId="627" xr:uid="{00000000-0005-0000-0000-00002B020000}"/>
    <cellStyle name="Hyperlink 2 3" xfId="829"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8"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eclarations@HARTING.com" TargetMode="External"/><Relationship Id="rId1" Type="http://schemas.openxmlformats.org/officeDocument/2006/relationships/hyperlink" Target="mailto:declarations@HARTING.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4"/>
      <c r="B1" s="5"/>
      <c r="C1" s="5"/>
      <c r="D1" s="145"/>
      <c r="E1" s="5"/>
      <c r="F1" s="5"/>
      <c r="G1" s="6"/>
    </row>
    <row r="2" spans="1:7">
      <c r="A2" s="451"/>
      <c r="B2" s="2" t="s">
        <v>1</v>
      </c>
      <c r="C2" s="3"/>
      <c r="D2" s="146"/>
      <c r="E2" s="3"/>
      <c r="F2" s="3"/>
      <c r="G2" s="25"/>
    </row>
    <row r="3" spans="1:7">
      <c r="A3" s="451"/>
      <c r="B3" s="3" t="s">
        <v>2</v>
      </c>
      <c r="C3" s="2"/>
      <c r="D3" s="147"/>
      <c r="E3" s="3"/>
      <c r="F3" s="2"/>
      <c r="G3" s="25"/>
    </row>
    <row r="4" spans="1:7" ht="16.2">
      <c r="A4" s="451"/>
      <c r="B4" s="183" t="s">
        <v>3</v>
      </c>
      <c r="C4" s="184"/>
      <c r="D4" s="185"/>
      <c r="E4" s="3"/>
      <c r="F4" s="184"/>
      <c r="G4" s="25"/>
    </row>
    <row r="5" spans="1:7">
      <c r="A5" s="451"/>
      <c r="B5" s="189" t="s">
        <v>4</v>
      </c>
      <c r="C5" s="186"/>
      <c r="D5" s="187"/>
      <c r="E5" s="3"/>
      <c r="F5" s="186"/>
      <c r="G5" s="25"/>
    </row>
    <row r="6" spans="1:7">
      <c r="A6" s="451"/>
      <c r="B6" s="3"/>
      <c r="C6" s="3"/>
      <c r="D6" s="146"/>
      <c r="E6" s="3"/>
      <c r="F6" s="3"/>
      <c r="G6" s="25"/>
    </row>
    <row r="7" spans="1:7">
      <c r="A7" s="451"/>
      <c r="B7" s="3"/>
      <c r="C7" s="3"/>
      <c r="D7" s="146"/>
      <c r="E7" s="3"/>
      <c r="F7" s="3"/>
      <c r="G7" s="25"/>
    </row>
    <row r="8" spans="1:7">
      <c r="A8" s="451"/>
      <c r="B8" s="3"/>
      <c r="C8" s="3"/>
      <c r="D8" s="146"/>
      <c r="E8" s="3"/>
      <c r="F8" s="3"/>
      <c r="G8" s="25"/>
    </row>
    <row r="9" spans="1:7" ht="20.25" customHeight="1">
      <c r="A9" s="451"/>
      <c r="B9" s="453" t="s">
        <v>5</v>
      </c>
      <c r="C9" s="453"/>
      <c r="D9" s="453"/>
      <c r="E9" s="453"/>
      <c r="F9" s="453"/>
      <c r="G9" s="25"/>
    </row>
    <row r="10" spans="1:7" ht="27" customHeight="1">
      <c r="A10" s="451"/>
      <c r="B10" s="454" t="s">
        <v>6</v>
      </c>
      <c r="C10" s="454"/>
      <c r="D10" s="454"/>
      <c r="E10" s="454"/>
      <c r="F10" s="454"/>
      <c r="G10" s="25"/>
    </row>
    <row r="11" spans="1:7" ht="82.5" customHeight="1">
      <c r="A11" s="451"/>
      <c r="B11" s="455"/>
      <c r="C11" s="455"/>
      <c r="D11" s="455"/>
      <c r="E11" s="455"/>
      <c r="F11" s="455"/>
      <c r="G11" s="25"/>
    </row>
    <row r="12" spans="1:7">
      <c r="A12" s="451"/>
      <c r="B12" s="173" t="s">
        <v>7</v>
      </c>
      <c r="C12" s="174" t="s">
        <v>8</v>
      </c>
      <c r="D12" s="175" t="s">
        <v>9</v>
      </c>
      <c r="E12" s="174" t="s">
        <v>10</v>
      </c>
      <c r="F12" s="174" t="s">
        <v>11</v>
      </c>
      <c r="G12" s="25"/>
    </row>
    <row r="13" spans="1:7" ht="57">
      <c r="A13" s="451"/>
      <c r="B13" s="286">
        <v>1</v>
      </c>
      <c r="C13" s="224" t="s">
        <v>12</v>
      </c>
      <c r="D13" s="225">
        <v>44489</v>
      </c>
      <c r="E13" s="224" t="s">
        <v>12216</v>
      </c>
      <c r="F13" s="226" t="s">
        <v>12225</v>
      </c>
      <c r="G13" s="25"/>
    </row>
    <row r="14" spans="1:7" ht="57">
      <c r="A14" s="451"/>
      <c r="B14" s="223">
        <v>1.01</v>
      </c>
      <c r="C14" s="224" t="s">
        <v>12</v>
      </c>
      <c r="D14" s="225">
        <v>44523</v>
      </c>
      <c r="E14" s="224" t="s">
        <v>12217</v>
      </c>
      <c r="F14" s="226" t="s">
        <v>12225</v>
      </c>
      <c r="G14" s="25"/>
    </row>
    <row r="15" spans="1:7" ht="57">
      <c r="A15" s="451"/>
      <c r="B15" s="223">
        <v>1.02</v>
      </c>
      <c r="C15" s="224" t="s">
        <v>12</v>
      </c>
      <c r="D15" s="225">
        <v>44553</v>
      </c>
      <c r="E15" s="224" t="s">
        <v>12218</v>
      </c>
      <c r="F15" s="226" t="s">
        <v>12225</v>
      </c>
      <c r="G15" s="25"/>
    </row>
    <row r="16" spans="1:7" ht="91.2">
      <c r="A16" s="451"/>
      <c r="B16" s="223">
        <v>1.1000000000000001</v>
      </c>
      <c r="C16" s="224" t="s">
        <v>12</v>
      </c>
      <c r="D16" s="225">
        <v>44848</v>
      </c>
      <c r="E16" s="224" t="s">
        <v>12219</v>
      </c>
      <c r="F16" s="226" t="s">
        <v>12226</v>
      </c>
      <c r="G16" s="25"/>
    </row>
    <row r="17" spans="1:7" ht="45.6">
      <c r="A17" s="451"/>
      <c r="B17" s="223">
        <v>1.1100000000000001</v>
      </c>
      <c r="C17" s="224" t="s">
        <v>12</v>
      </c>
      <c r="D17" s="225">
        <v>44869</v>
      </c>
      <c r="E17" s="224" t="s">
        <v>12220</v>
      </c>
      <c r="F17" s="226" t="s">
        <v>12226</v>
      </c>
      <c r="G17" s="25"/>
    </row>
    <row r="18" spans="1:7" ht="45.6">
      <c r="A18" s="451"/>
      <c r="B18" s="223">
        <v>1.2</v>
      </c>
      <c r="C18" s="224" t="s">
        <v>12</v>
      </c>
      <c r="D18" s="225">
        <v>45058</v>
      </c>
      <c r="E18" s="224" t="s">
        <v>12269</v>
      </c>
      <c r="F18" s="226" t="s">
        <v>12227</v>
      </c>
      <c r="G18" s="25"/>
    </row>
    <row r="19" spans="1:7" ht="57">
      <c r="A19" s="451"/>
      <c r="B19" s="223">
        <v>1.3</v>
      </c>
      <c r="C19" s="224" t="s">
        <v>12</v>
      </c>
      <c r="D19" s="225">
        <v>45408</v>
      </c>
      <c r="E19" s="287" t="s">
        <v>20008</v>
      </c>
      <c r="F19" s="226" t="s">
        <v>12270</v>
      </c>
      <c r="G19" s="25"/>
    </row>
    <row r="20" spans="1:7" ht="57">
      <c r="A20" s="451"/>
      <c r="B20" s="292" t="s">
        <v>18642</v>
      </c>
      <c r="C20" s="224" t="s">
        <v>12</v>
      </c>
      <c r="D20" s="225">
        <v>45772</v>
      </c>
      <c r="E20" s="287" t="s">
        <v>19186</v>
      </c>
      <c r="F20" s="226" t="s">
        <v>19309</v>
      </c>
      <c r="G20" s="25"/>
    </row>
    <row r="21" spans="1:7" ht="79.8">
      <c r="A21" s="451"/>
      <c r="B21" s="292" t="s">
        <v>20112</v>
      </c>
      <c r="C21" s="224" t="s">
        <v>12</v>
      </c>
      <c r="D21" s="385">
        <v>45947</v>
      </c>
      <c r="E21" s="386" t="s">
        <v>20116</v>
      </c>
      <c r="F21" s="226" t="s">
        <v>20111</v>
      </c>
      <c r="G21" s="25"/>
    </row>
    <row r="22" spans="1:7" ht="13.2" thickBot="1">
      <c r="A22" s="452"/>
      <c r="B22" s="456" t="str">
        <f ca="1">OFFSET(L!$C$1,MATCH("General"&amp;"Cpy",L!$A:$A,0)-1,SL,,)</f>
        <v>© 2025 Responsible Minerals Initiative. All rights reserved.</v>
      </c>
      <c r="C22" s="456"/>
      <c r="D22" s="456"/>
      <c r="E22" s="456"/>
      <c r="F22" s="456"/>
      <c r="G22" s="26"/>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39" customWidth="1"/>
    <col min="6" max="6" width="61.7265625" style="240" customWidth="1"/>
    <col min="7" max="7" width="61.7265625" style="126" customWidth="1"/>
    <col min="8" max="8" width="65.7265625" style="143" customWidth="1"/>
    <col min="9" max="9" width="51.453125" style="188" customWidth="1"/>
    <col min="10" max="16384" width="8.7265625" style="188"/>
  </cols>
  <sheetData>
    <row r="1" spans="1:9">
      <c r="B1" s="126" t="s">
        <v>351</v>
      </c>
      <c r="C1" s="126" t="s">
        <v>352</v>
      </c>
      <c r="D1" s="126" t="s">
        <v>17</v>
      </c>
      <c r="E1" s="239" t="s">
        <v>353</v>
      </c>
      <c r="F1" s="240" t="s">
        <v>354</v>
      </c>
      <c r="G1" s="126" t="s">
        <v>355</v>
      </c>
      <c r="H1" s="275" t="s">
        <v>356</v>
      </c>
      <c r="I1" s="188" t="s">
        <v>18472</v>
      </c>
    </row>
    <row r="2" spans="1:9" ht="42">
      <c r="A2" s="126" t="str">
        <f>B2&amp;C2</f>
        <v>InstructionsA1</v>
      </c>
      <c r="B2" s="126" t="s">
        <v>357</v>
      </c>
      <c r="C2" s="126" t="s">
        <v>358</v>
      </c>
      <c r="D2" s="126" t="s">
        <v>359</v>
      </c>
      <c r="E2" s="239" t="s">
        <v>360</v>
      </c>
      <c r="F2" s="240" t="s">
        <v>361</v>
      </c>
      <c r="G2" s="126" t="s">
        <v>359</v>
      </c>
      <c r="H2" s="275" t="s">
        <v>359</v>
      </c>
      <c r="I2" s="275" t="s">
        <v>359</v>
      </c>
    </row>
    <row r="3" spans="1:9">
      <c r="A3" s="126" t="str">
        <f t="shared" ref="A3:A84" si="0">B3&amp;C3</f>
        <v>InstructionsA2</v>
      </c>
      <c r="B3" s="126" t="s">
        <v>357</v>
      </c>
      <c r="C3" s="126" t="s">
        <v>362</v>
      </c>
      <c r="D3" s="126" t="s">
        <v>363</v>
      </c>
      <c r="E3" s="239" t="s">
        <v>364</v>
      </c>
      <c r="F3" s="240" t="s">
        <v>365</v>
      </c>
      <c r="G3" s="126" t="s">
        <v>366</v>
      </c>
      <c r="H3" s="275" t="s">
        <v>363</v>
      </c>
      <c r="I3" s="188" t="s">
        <v>18473</v>
      </c>
    </row>
    <row r="4" spans="1:9" ht="293.39999999999998" customHeight="1">
      <c r="A4" s="126" t="str">
        <f t="shared" si="0"/>
        <v>InstructionsA3</v>
      </c>
      <c r="B4" s="126" t="s">
        <v>357</v>
      </c>
      <c r="C4" s="126" t="s">
        <v>367</v>
      </c>
      <c r="D4" s="126" t="s">
        <v>19291</v>
      </c>
      <c r="E4" s="239" t="s">
        <v>368</v>
      </c>
      <c r="F4" s="240" t="s">
        <v>369</v>
      </c>
      <c r="G4" s="241" t="s">
        <v>370</v>
      </c>
      <c r="H4" s="276" t="s">
        <v>18554</v>
      </c>
      <c r="I4" s="126" t="s">
        <v>18585</v>
      </c>
    </row>
    <row r="5" spans="1:9" ht="40.5" customHeight="1">
      <c r="A5" s="126" t="str">
        <f t="shared" si="0"/>
        <v>InstructionsA5</v>
      </c>
      <c r="B5" s="126" t="s">
        <v>357</v>
      </c>
      <c r="C5" s="126" t="s">
        <v>371</v>
      </c>
      <c r="D5" s="126" t="s">
        <v>19413</v>
      </c>
      <c r="E5" s="239" t="s">
        <v>19408</v>
      </c>
      <c r="F5" s="240" t="s">
        <v>19409</v>
      </c>
      <c r="G5" s="126" t="s">
        <v>19410</v>
      </c>
      <c r="H5" s="275" t="s">
        <v>19411</v>
      </c>
      <c r="I5" s="126" t="s">
        <v>19412</v>
      </c>
    </row>
    <row r="6" spans="1:9">
      <c r="A6" s="126" t="str">
        <f t="shared" si="0"/>
        <v>InstructionsA6</v>
      </c>
      <c r="B6" s="126" t="s">
        <v>357</v>
      </c>
      <c r="C6" s="126" t="s">
        <v>372</v>
      </c>
      <c r="D6" s="126" t="s">
        <v>373</v>
      </c>
      <c r="E6" s="239" t="s">
        <v>374</v>
      </c>
      <c r="F6" s="240" t="s">
        <v>375</v>
      </c>
      <c r="G6" s="126" t="s">
        <v>376</v>
      </c>
      <c r="H6" s="277" t="s">
        <v>377</v>
      </c>
      <c r="I6" s="126" t="s">
        <v>18474</v>
      </c>
    </row>
    <row r="7" spans="1:9" ht="86.25" customHeight="1">
      <c r="A7" s="126" t="str">
        <f t="shared" si="0"/>
        <v>InstructionsA7</v>
      </c>
      <c r="B7" s="126" t="s">
        <v>357</v>
      </c>
      <c r="C7" s="126" t="s">
        <v>378</v>
      </c>
      <c r="D7" s="126" t="s">
        <v>379</v>
      </c>
      <c r="E7" s="239" t="s">
        <v>380</v>
      </c>
      <c r="F7" s="240" t="s">
        <v>381</v>
      </c>
      <c r="G7" s="126" t="s">
        <v>382</v>
      </c>
      <c r="H7" s="275" t="s">
        <v>383</v>
      </c>
      <c r="I7" s="126" t="s">
        <v>18475</v>
      </c>
    </row>
    <row r="8" spans="1:9" ht="409.6">
      <c r="A8" s="126" t="str">
        <f t="shared" si="0"/>
        <v>InstructionsA8</v>
      </c>
      <c r="B8" s="126" t="s">
        <v>357</v>
      </c>
      <c r="C8" s="126" t="s">
        <v>384</v>
      </c>
      <c r="D8" s="126" t="s">
        <v>20006</v>
      </c>
      <c r="E8" s="239" t="s">
        <v>20002</v>
      </c>
      <c r="F8" s="240" t="s">
        <v>20003</v>
      </c>
      <c r="G8" s="126" t="s">
        <v>20001</v>
      </c>
      <c r="H8" s="275" t="s">
        <v>20004</v>
      </c>
      <c r="I8" s="100" t="s">
        <v>20005</v>
      </c>
    </row>
    <row r="9" spans="1:9" ht="113.4">
      <c r="A9" s="126" t="str">
        <f t="shared" ref="A9" si="1">B9&amp;C9</f>
        <v>InstructionsA9</v>
      </c>
      <c r="B9" s="126" t="s">
        <v>357</v>
      </c>
      <c r="C9" s="126" t="s">
        <v>385</v>
      </c>
      <c r="D9" s="126" t="s">
        <v>20155</v>
      </c>
      <c r="E9" s="239" t="s">
        <v>20156</v>
      </c>
      <c r="F9" s="240" t="s">
        <v>20154</v>
      </c>
      <c r="G9" s="126" t="s">
        <v>20157</v>
      </c>
      <c r="H9" s="275" t="s">
        <v>20158</v>
      </c>
      <c r="I9" s="100" t="s">
        <v>20159</v>
      </c>
    </row>
    <row r="10" spans="1:9" ht="41.4">
      <c r="A10" s="126" t="str">
        <f t="shared" si="0"/>
        <v>InstructionsA10</v>
      </c>
      <c r="B10" s="126" t="s">
        <v>357</v>
      </c>
      <c r="C10" s="126" t="s">
        <v>390</v>
      </c>
      <c r="D10" s="126" t="s">
        <v>19361</v>
      </c>
      <c r="E10" s="239" t="s">
        <v>386</v>
      </c>
      <c r="F10" s="240" t="s">
        <v>387</v>
      </c>
      <c r="G10" s="126" t="s">
        <v>388</v>
      </c>
      <c r="H10" s="275" t="s">
        <v>389</v>
      </c>
      <c r="I10" s="126" t="s">
        <v>18476</v>
      </c>
    </row>
    <row r="11" spans="1:9" ht="28.8">
      <c r="A11" s="126" t="str">
        <f>B11&amp;C11</f>
        <v>InstructionsA11</v>
      </c>
      <c r="B11" s="126" t="s">
        <v>357</v>
      </c>
      <c r="C11" s="126" t="s">
        <v>395</v>
      </c>
      <c r="D11" s="126" t="s">
        <v>19362</v>
      </c>
      <c r="E11" s="239" t="s">
        <v>391</v>
      </c>
      <c r="F11" s="240" t="s">
        <v>392</v>
      </c>
      <c r="G11" s="126" t="s">
        <v>393</v>
      </c>
      <c r="H11" s="275" t="s">
        <v>394</v>
      </c>
      <c r="I11" s="126" t="s">
        <v>18477</v>
      </c>
    </row>
    <row r="12" spans="1:9" ht="43.2">
      <c r="A12" s="126" t="str">
        <f t="shared" si="0"/>
        <v>InstructionsA12</v>
      </c>
      <c r="B12" s="126" t="s">
        <v>357</v>
      </c>
      <c r="C12" s="126" t="s">
        <v>400</v>
      </c>
      <c r="D12" s="126" t="s">
        <v>19363</v>
      </c>
      <c r="E12" s="220" t="s">
        <v>396</v>
      </c>
      <c r="F12" s="242" t="s">
        <v>397</v>
      </c>
      <c r="G12" s="126" t="s">
        <v>398</v>
      </c>
      <c r="H12" s="275" t="s">
        <v>399</v>
      </c>
      <c r="I12" s="126" t="s">
        <v>18478</v>
      </c>
    </row>
    <row r="13" spans="1:9" ht="41.4">
      <c r="A13" s="126" t="str">
        <f t="shared" si="0"/>
        <v>InstructionsA13</v>
      </c>
      <c r="B13" s="126" t="s">
        <v>357</v>
      </c>
      <c r="C13" s="126" t="s">
        <v>405</v>
      </c>
      <c r="D13" s="126" t="s">
        <v>19364</v>
      </c>
      <c r="E13" s="239" t="s">
        <v>401</v>
      </c>
      <c r="F13" s="240" t="s">
        <v>402</v>
      </c>
      <c r="G13" s="126" t="s">
        <v>403</v>
      </c>
      <c r="H13" s="275" t="s">
        <v>404</v>
      </c>
      <c r="I13" s="126" t="s">
        <v>18479</v>
      </c>
    </row>
    <row r="14" spans="1:9" ht="69">
      <c r="A14" s="126" t="str">
        <f t="shared" si="0"/>
        <v>InstructionsA14</v>
      </c>
      <c r="B14" s="126" t="s">
        <v>357</v>
      </c>
      <c r="C14" s="126" t="s">
        <v>410</v>
      </c>
      <c r="D14" s="126" t="s">
        <v>19365</v>
      </c>
      <c r="E14" s="220" t="s">
        <v>406</v>
      </c>
      <c r="F14" s="242" t="s">
        <v>407</v>
      </c>
      <c r="G14" s="126" t="s">
        <v>408</v>
      </c>
      <c r="H14" s="275" t="s">
        <v>409</v>
      </c>
      <c r="I14" s="126" t="s">
        <v>18480</v>
      </c>
    </row>
    <row r="15" spans="1:9" ht="31.5" customHeight="1">
      <c r="A15" s="126" t="str">
        <f t="shared" si="0"/>
        <v>InstructionsA15</v>
      </c>
      <c r="B15" s="126" t="s">
        <v>357</v>
      </c>
      <c r="C15" s="126" t="s">
        <v>415</v>
      </c>
      <c r="D15" s="126" t="s">
        <v>19366</v>
      </c>
      <c r="E15" s="239" t="s">
        <v>411</v>
      </c>
      <c r="F15" s="240" t="s">
        <v>412</v>
      </c>
      <c r="G15" s="126" t="s">
        <v>413</v>
      </c>
      <c r="H15" s="275" t="s">
        <v>414</v>
      </c>
      <c r="I15" s="126" t="s">
        <v>18481</v>
      </c>
    </row>
    <row r="16" spans="1:9" ht="82.8">
      <c r="A16" s="126" t="str">
        <f t="shared" si="0"/>
        <v>InstructionsA16</v>
      </c>
      <c r="B16" s="126" t="s">
        <v>357</v>
      </c>
      <c r="C16" s="126" t="s">
        <v>420</v>
      </c>
      <c r="D16" s="126" t="s">
        <v>19367</v>
      </c>
      <c r="E16" s="239" t="s">
        <v>416</v>
      </c>
      <c r="F16" s="240" t="s">
        <v>417</v>
      </c>
      <c r="G16" s="126" t="s">
        <v>418</v>
      </c>
      <c r="H16" s="275" t="s">
        <v>419</v>
      </c>
      <c r="I16" s="126" t="s">
        <v>18482</v>
      </c>
    </row>
    <row r="17" spans="1:9" ht="27.6">
      <c r="A17" s="126" t="str">
        <f t="shared" si="0"/>
        <v>InstructionsA17</v>
      </c>
      <c r="B17" s="126" t="s">
        <v>357</v>
      </c>
      <c r="C17" s="126" t="s">
        <v>425</v>
      </c>
      <c r="D17" s="126" t="s">
        <v>19368</v>
      </c>
      <c r="E17" s="220" t="s">
        <v>421</v>
      </c>
      <c r="F17" s="242" t="s">
        <v>422</v>
      </c>
      <c r="G17" s="126" t="s">
        <v>423</v>
      </c>
      <c r="H17" s="275" t="s">
        <v>424</v>
      </c>
      <c r="I17" s="126" t="s">
        <v>18483</v>
      </c>
    </row>
    <row r="18" spans="1:9" ht="69">
      <c r="A18" s="126" t="str">
        <f t="shared" si="0"/>
        <v>InstructionsA18</v>
      </c>
      <c r="B18" s="126" t="s">
        <v>357</v>
      </c>
      <c r="C18" s="126" t="s">
        <v>430</v>
      </c>
      <c r="D18" s="126" t="s">
        <v>19369</v>
      </c>
      <c r="E18" s="239" t="s">
        <v>426</v>
      </c>
      <c r="F18" s="240" t="s">
        <v>427</v>
      </c>
      <c r="G18" s="126" t="s">
        <v>428</v>
      </c>
      <c r="H18" s="275" t="s">
        <v>429</v>
      </c>
      <c r="I18" s="126" t="s">
        <v>18484</v>
      </c>
    </row>
    <row r="19" spans="1:9" ht="27.6">
      <c r="A19" s="126" t="str">
        <f>B19&amp;C19</f>
        <v>InstructionsA19</v>
      </c>
      <c r="B19" s="126" t="s">
        <v>357</v>
      </c>
      <c r="C19" s="126" t="s">
        <v>435</v>
      </c>
      <c r="D19" s="126" t="s">
        <v>19370</v>
      </c>
      <c r="E19" s="126" t="s">
        <v>431</v>
      </c>
      <c r="F19" s="242" t="s">
        <v>432</v>
      </c>
      <c r="G19" s="126" t="s">
        <v>433</v>
      </c>
      <c r="H19" s="275" t="s">
        <v>434</v>
      </c>
      <c r="I19" s="126" t="s">
        <v>18485</v>
      </c>
    </row>
    <row r="20" spans="1:9" ht="41.4">
      <c r="A20" s="126" t="str">
        <f t="shared" si="0"/>
        <v>InstructionsA20</v>
      </c>
      <c r="B20" s="126" t="s">
        <v>357</v>
      </c>
      <c r="C20" s="126" t="s">
        <v>440</v>
      </c>
      <c r="D20" s="126" t="s">
        <v>19371</v>
      </c>
      <c r="E20" s="239" t="s">
        <v>436</v>
      </c>
      <c r="F20" s="240" t="s">
        <v>437</v>
      </c>
      <c r="G20" s="126" t="s">
        <v>438</v>
      </c>
      <c r="H20" s="278" t="s">
        <v>439</v>
      </c>
      <c r="I20" s="126" t="s">
        <v>18486</v>
      </c>
    </row>
    <row r="21" spans="1:9" ht="41.4">
      <c r="A21" s="126" t="str">
        <f t="shared" si="0"/>
        <v>InstructionsA21</v>
      </c>
      <c r="B21" s="126" t="s">
        <v>357</v>
      </c>
      <c r="C21" s="126" t="s">
        <v>19373</v>
      </c>
      <c r="D21" s="126" t="s">
        <v>19372</v>
      </c>
      <c r="E21" s="239" t="s">
        <v>441</v>
      </c>
      <c r="F21" s="240" t="s">
        <v>442</v>
      </c>
      <c r="G21" s="126" t="s">
        <v>443</v>
      </c>
      <c r="H21" s="275" t="s">
        <v>444</v>
      </c>
      <c r="I21" s="126" t="s">
        <v>18487</v>
      </c>
    </row>
    <row r="22" spans="1:9" ht="54.75" customHeight="1">
      <c r="A22" s="126" t="str">
        <f t="shared" si="0"/>
        <v>InstructionsA23</v>
      </c>
      <c r="B22" s="126" t="s">
        <v>357</v>
      </c>
      <c r="C22" s="126" t="s">
        <v>445</v>
      </c>
      <c r="D22" s="126" t="s">
        <v>19414</v>
      </c>
      <c r="E22" s="239" t="s">
        <v>19415</v>
      </c>
      <c r="F22" s="240" t="s">
        <v>19416</v>
      </c>
      <c r="G22" s="126" t="s">
        <v>19417</v>
      </c>
      <c r="H22" s="278" t="s">
        <v>19418</v>
      </c>
      <c r="I22" s="376" t="s">
        <v>19419</v>
      </c>
    </row>
    <row r="23" spans="1:9" ht="129.6">
      <c r="A23" s="126" t="str">
        <f t="shared" si="0"/>
        <v>InstructionsA24</v>
      </c>
      <c r="B23" s="126" t="s">
        <v>357</v>
      </c>
      <c r="C23" s="126" t="s">
        <v>446</v>
      </c>
      <c r="D23" s="126" t="s">
        <v>19407</v>
      </c>
      <c r="E23" s="239" t="s">
        <v>19515</v>
      </c>
      <c r="F23" s="240" t="s">
        <v>19516</v>
      </c>
      <c r="G23" s="241" t="s">
        <v>19517</v>
      </c>
      <c r="H23" s="278" t="s">
        <v>19518</v>
      </c>
      <c r="I23" s="126" t="s">
        <v>19519</v>
      </c>
    </row>
    <row r="24" spans="1:9" ht="32.4">
      <c r="A24" s="126" t="str">
        <f>B24&amp;C24</f>
        <v>InstructionsA25</v>
      </c>
      <c r="B24" s="126" t="s">
        <v>357</v>
      </c>
      <c r="C24" s="126" t="s">
        <v>452</v>
      </c>
      <c r="D24" s="126" t="s">
        <v>447</v>
      </c>
      <c r="E24" s="239" t="s">
        <v>448</v>
      </c>
      <c r="F24" s="240" t="s">
        <v>449</v>
      </c>
      <c r="G24" s="126" t="s">
        <v>450</v>
      </c>
      <c r="H24" s="278" t="s">
        <v>451</v>
      </c>
      <c r="I24" s="126" t="s">
        <v>18488</v>
      </c>
    </row>
    <row r="25" spans="1:9" ht="82.8">
      <c r="A25" s="126" t="str">
        <f t="shared" si="0"/>
        <v>InstructionsA26</v>
      </c>
      <c r="B25" s="126" t="s">
        <v>357</v>
      </c>
      <c r="C25" s="126" t="s">
        <v>453</v>
      </c>
      <c r="D25" s="126" t="s">
        <v>19290</v>
      </c>
      <c r="E25" s="239" t="s">
        <v>19520</v>
      </c>
      <c r="F25" s="270" t="s">
        <v>19524</v>
      </c>
      <c r="G25" s="126" t="s">
        <v>19521</v>
      </c>
      <c r="H25" s="275" t="s">
        <v>19522</v>
      </c>
      <c r="I25" s="126" t="s">
        <v>19523</v>
      </c>
    </row>
    <row r="26" spans="1:9" ht="234.6">
      <c r="A26" s="126" t="str">
        <f t="shared" si="0"/>
        <v>InstructionsA27</v>
      </c>
      <c r="B26" s="126" t="s">
        <v>357</v>
      </c>
      <c r="C26" s="126" t="s">
        <v>454</v>
      </c>
      <c r="D26" s="126" t="s">
        <v>19525</v>
      </c>
      <c r="E26" s="243" t="s">
        <v>19526</v>
      </c>
      <c r="F26" s="270" t="s">
        <v>19902</v>
      </c>
      <c r="G26" s="126" t="s">
        <v>19538</v>
      </c>
      <c r="H26" s="275" t="s">
        <v>19527</v>
      </c>
      <c r="I26" s="126" t="s">
        <v>19528</v>
      </c>
    </row>
    <row r="27" spans="1:9" ht="41.4">
      <c r="A27" s="126" t="str">
        <f t="shared" si="0"/>
        <v>InstructionsA28</v>
      </c>
      <c r="B27" s="126" t="s">
        <v>357</v>
      </c>
      <c r="C27" s="126" t="s">
        <v>460</v>
      </c>
      <c r="D27" s="126" t="s">
        <v>455</v>
      </c>
      <c r="E27" s="239" t="s">
        <v>456</v>
      </c>
      <c r="F27" s="240" t="s">
        <v>457</v>
      </c>
      <c r="G27" s="126" t="s">
        <v>458</v>
      </c>
      <c r="H27" s="275" t="s">
        <v>459</v>
      </c>
      <c r="I27" s="126" t="s">
        <v>18489</v>
      </c>
    </row>
    <row r="28" spans="1:9" ht="409.6">
      <c r="A28" s="126" t="str">
        <f t="shared" si="0"/>
        <v>InstructionsA29</v>
      </c>
      <c r="B28" s="126" t="s">
        <v>357</v>
      </c>
      <c r="C28" s="126" t="s">
        <v>461</v>
      </c>
      <c r="D28" s="126" t="s">
        <v>19292</v>
      </c>
      <c r="E28" s="379" t="s">
        <v>19529</v>
      </c>
      <c r="F28" s="240" t="s">
        <v>19903</v>
      </c>
      <c r="G28" s="126" t="s">
        <v>19536</v>
      </c>
      <c r="H28" s="275" t="s">
        <v>19530</v>
      </c>
      <c r="I28" s="126" t="s">
        <v>19531</v>
      </c>
    </row>
    <row r="29" spans="1:9" ht="348" customHeight="1">
      <c r="A29" s="126" t="str">
        <f t="shared" ref="A29:A33" si="2">B29&amp;C29</f>
        <v>InstructionsA30</v>
      </c>
      <c r="B29" s="126" t="s">
        <v>357</v>
      </c>
      <c r="C29" s="126" t="s">
        <v>462</v>
      </c>
      <c r="D29" s="126" t="s">
        <v>19532</v>
      </c>
      <c r="E29" s="243" t="s">
        <v>19533</v>
      </c>
      <c r="F29" s="244" t="s">
        <v>19904</v>
      </c>
      <c r="G29" s="126" t="s">
        <v>19537</v>
      </c>
      <c r="H29" s="275" t="s">
        <v>19535</v>
      </c>
      <c r="I29" s="126" t="s">
        <v>19534</v>
      </c>
    </row>
    <row r="30" spans="1:9" ht="220.8">
      <c r="A30" s="126" t="str">
        <f t="shared" si="2"/>
        <v>InstructionsA31</v>
      </c>
      <c r="B30" s="126" t="s">
        <v>357</v>
      </c>
      <c r="C30" s="126" t="s">
        <v>463</v>
      </c>
      <c r="D30" s="126" t="s">
        <v>19358</v>
      </c>
      <c r="E30" s="379" t="s">
        <v>19906</v>
      </c>
      <c r="F30" s="240" t="s">
        <v>19905</v>
      </c>
      <c r="G30" s="126" t="s">
        <v>19907</v>
      </c>
      <c r="H30" s="275" t="s">
        <v>19908</v>
      </c>
      <c r="I30" s="126" t="s">
        <v>19909</v>
      </c>
    </row>
    <row r="31" spans="1:9" ht="234.6">
      <c r="A31" s="126" t="str">
        <f t="shared" si="2"/>
        <v>InstructionsA32</v>
      </c>
      <c r="B31" s="126" t="s">
        <v>357</v>
      </c>
      <c r="C31" s="126" t="s">
        <v>464</v>
      </c>
      <c r="D31" s="126" t="s">
        <v>19359</v>
      </c>
      <c r="E31" s="126" t="s">
        <v>19911</v>
      </c>
      <c r="F31" s="244" t="s">
        <v>19910</v>
      </c>
      <c r="G31" s="126" t="s">
        <v>19912</v>
      </c>
      <c r="H31" s="275" t="s">
        <v>19913</v>
      </c>
      <c r="I31" s="126" t="s">
        <v>19914</v>
      </c>
    </row>
    <row r="32" spans="1:9" ht="138">
      <c r="A32" s="126" t="str">
        <f t="shared" si="2"/>
        <v>InstructionsA33</v>
      </c>
      <c r="B32" s="126" t="s">
        <v>357</v>
      </c>
      <c r="C32" s="126" t="s">
        <v>465</v>
      </c>
      <c r="D32" s="126" t="s">
        <v>19294</v>
      </c>
      <c r="E32" s="379" t="s">
        <v>19539</v>
      </c>
      <c r="F32" s="244" t="s">
        <v>19915</v>
      </c>
      <c r="G32" s="126" t="s">
        <v>19540</v>
      </c>
      <c r="H32" s="275" t="s">
        <v>19541</v>
      </c>
      <c r="I32" s="126" t="s">
        <v>19542</v>
      </c>
    </row>
    <row r="33" spans="1:9" ht="138">
      <c r="A33" s="126" t="str">
        <f t="shared" si="2"/>
        <v>InstructionsA34</v>
      </c>
      <c r="B33" s="126" t="s">
        <v>357</v>
      </c>
      <c r="C33" s="126" t="s">
        <v>19374</v>
      </c>
      <c r="D33" s="245" t="s">
        <v>19295</v>
      </c>
      <c r="E33" s="243" t="s">
        <v>19543</v>
      </c>
      <c r="F33" s="244" t="s">
        <v>19916</v>
      </c>
      <c r="G33" s="126" t="s">
        <v>19544</v>
      </c>
      <c r="H33" s="275" t="s">
        <v>19545</v>
      </c>
      <c r="I33" s="126" t="s">
        <v>19546</v>
      </c>
    </row>
    <row r="34" spans="1:9" ht="78" customHeight="1">
      <c r="A34" s="126" t="str">
        <f t="shared" si="0"/>
        <v>InstructionsA36</v>
      </c>
      <c r="B34" s="126" t="s">
        <v>357</v>
      </c>
      <c r="C34" s="126" t="s">
        <v>466</v>
      </c>
      <c r="D34" s="126" t="s">
        <v>19420</v>
      </c>
      <c r="E34" s="379" t="s">
        <v>19547</v>
      </c>
      <c r="F34" s="244" t="s">
        <v>19917</v>
      </c>
      <c r="G34" s="247" t="s">
        <v>19548</v>
      </c>
      <c r="H34" s="275" t="s">
        <v>19549</v>
      </c>
      <c r="I34" s="126" t="s">
        <v>19550</v>
      </c>
    </row>
    <row r="35" spans="1:9" ht="276">
      <c r="A35" s="126" t="str">
        <f t="shared" si="0"/>
        <v>InstructionsA37</v>
      </c>
      <c r="B35" s="126" t="s">
        <v>357</v>
      </c>
      <c r="C35" s="126" t="s">
        <v>467</v>
      </c>
      <c r="D35" s="126" t="s">
        <v>19293</v>
      </c>
      <c r="E35" s="239" t="s">
        <v>19551</v>
      </c>
      <c r="F35" s="240" t="s">
        <v>19918</v>
      </c>
      <c r="G35" s="247" t="s">
        <v>19552</v>
      </c>
      <c r="H35" s="275" t="s">
        <v>19553</v>
      </c>
      <c r="I35" s="126" t="s">
        <v>19554</v>
      </c>
    </row>
    <row r="36" spans="1:9" ht="55.2">
      <c r="A36" s="126" t="str">
        <f t="shared" si="0"/>
        <v>InstructionsA38</v>
      </c>
      <c r="B36" s="126" t="s">
        <v>357</v>
      </c>
      <c r="C36" s="126" t="s">
        <v>472</v>
      </c>
      <c r="D36" s="126" t="s">
        <v>19296</v>
      </c>
      <c r="E36" s="243" t="s">
        <v>468</v>
      </c>
      <c r="F36" s="270" t="s">
        <v>469</v>
      </c>
      <c r="G36" s="126" t="s">
        <v>470</v>
      </c>
      <c r="H36" s="275" t="s">
        <v>471</v>
      </c>
      <c r="I36" s="126" t="s">
        <v>18490</v>
      </c>
    </row>
    <row r="37" spans="1:9" ht="82.8">
      <c r="A37" s="126" t="str">
        <f t="shared" si="0"/>
        <v>InstructionsA39</v>
      </c>
      <c r="B37" s="126" t="s">
        <v>357</v>
      </c>
      <c r="C37" s="126" t="s">
        <v>473</v>
      </c>
      <c r="D37" s="126" t="s">
        <v>19297</v>
      </c>
      <c r="E37" s="243" t="s">
        <v>19556</v>
      </c>
      <c r="F37" s="270" t="s">
        <v>19557</v>
      </c>
      <c r="G37" s="126" t="s">
        <v>19559</v>
      </c>
      <c r="H37" s="275" t="s">
        <v>19561</v>
      </c>
      <c r="I37" s="126" t="s">
        <v>19563</v>
      </c>
    </row>
    <row r="38" spans="1:9" ht="110.4">
      <c r="A38" s="126" t="str">
        <f t="shared" si="0"/>
        <v>InstructionsA40</v>
      </c>
      <c r="B38" s="126" t="s">
        <v>357</v>
      </c>
      <c r="C38" s="126" t="s">
        <v>474</v>
      </c>
      <c r="D38" s="126" t="s">
        <v>19298</v>
      </c>
      <c r="E38" s="379" t="s">
        <v>19555</v>
      </c>
      <c r="F38" s="271" t="s">
        <v>19919</v>
      </c>
      <c r="G38" s="126" t="s">
        <v>19558</v>
      </c>
      <c r="H38" s="275" t="s">
        <v>19560</v>
      </c>
      <c r="I38" s="126" t="s">
        <v>19562</v>
      </c>
    </row>
    <row r="39" spans="1:9" ht="179.4">
      <c r="A39" s="126" t="str">
        <f t="shared" si="0"/>
        <v>InstructionsA41</v>
      </c>
      <c r="B39" s="126" t="s">
        <v>357</v>
      </c>
      <c r="C39" s="126" t="s">
        <v>480</v>
      </c>
      <c r="D39" s="126" t="s">
        <v>475</v>
      </c>
      <c r="E39" s="246" t="s">
        <v>476</v>
      </c>
      <c r="F39" s="272" t="s">
        <v>477</v>
      </c>
      <c r="G39" s="245" t="s">
        <v>478</v>
      </c>
      <c r="H39" s="275" t="s">
        <v>479</v>
      </c>
      <c r="I39" s="126" t="s">
        <v>18491</v>
      </c>
    </row>
    <row r="40" spans="1:9" ht="220.8">
      <c r="A40" s="126" t="str">
        <f>B40&amp;C40</f>
        <v>InstructionsA42</v>
      </c>
      <c r="B40" s="126" t="s">
        <v>357</v>
      </c>
      <c r="C40" s="126" t="s">
        <v>486</v>
      </c>
      <c r="D40" s="126" t="s">
        <v>481</v>
      </c>
      <c r="E40" s="246" t="s">
        <v>482</v>
      </c>
      <c r="F40" s="272" t="s">
        <v>483</v>
      </c>
      <c r="G40" s="248" t="s">
        <v>484</v>
      </c>
      <c r="H40" s="279" t="s">
        <v>485</v>
      </c>
      <c r="I40" s="126" t="s">
        <v>18492</v>
      </c>
    </row>
    <row r="41" spans="1:9" ht="193.2">
      <c r="A41" s="126" t="str">
        <f>B41&amp;C41</f>
        <v>InstructionsA43</v>
      </c>
      <c r="B41" s="126" t="s">
        <v>357</v>
      </c>
      <c r="C41" s="126" t="s">
        <v>492</v>
      </c>
      <c r="D41" s="126" t="s">
        <v>487</v>
      </c>
      <c r="E41" s="239" t="s">
        <v>488</v>
      </c>
      <c r="F41" s="270" t="s">
        <v>489</v>
      </c>
      <c r="G41" s="126" t="s">
        <v>490</v>
      </c>
      <c r="H41" s="275" t="s">
        <v>491</v>
      </c>
      <c r="I41" s="126" t="s">
        <v>18493</v>
      </c>
    </row>
    <row r="42" spans="1:9" ht="82.8">
      <c r="A42" s="126" t="str">
        <f t="shared" si="0"/>
        <v>InstructionsA44</v>
      </c>
      <c r="B42" s="126" t="s">
        <v>357</v>
      </c>
      <c r="C42" s="126" t="s">
        <v>19375</v>
      </c>
      <c r="D42" s="126" t="s">
        <v>493</v>
      </c>
      <c r="E42" s="239" t="s">
        <v>494</v>
      </c>
      <c r="F42" s="270" t="s">
        <v>19565</v>
      </c>
      <c r="G42" s="126" t="s">
        <v>495</v>
      </c>
      <c r="H42" s="275" t="s">
        <v>496</v>
      </c>
      <c r="I42" s="126" t="s">
        <v>18494</v>
      </c>
    </row>
    <row r="43" spans="1:9" ht="69">
      <c r="A43" s="126" t="str">
        <f t="shared" si="0"/>
        <v>InstructionsA46</v>
      </c>
      <c r="B43" s="126" t="s">
        <v>357</v>
      </c>
      <c r="C43" s="126" t="s">
        <v>502</v>
      </c>
      <c r="D43" s="126" t="s">
        <v>497</v>
      </c>
      <c r="E43" s="239" t="s">
        <v>498</v>
      </c>
      <c r="F43" s="240" t="s">
        <v>499</v>
      </c>
      <c r="G43" s="126" t="s">
        <v>500</v>
      </c>
      <c r="H43" s="275" t="s">
        <v>501</v>
      </c>
      <c r="I43" s="126" t="s">
        <v>18495</v>
      </c>
    </row>
    <row r="44" spans="1:9" ht="96.6">
      <c r="A44" s="126" t="str">
        <f t="shared" si="0"/>
        <v>InstructionsA47</v>
      </c>
      <c r="B44" s="126" t="s">
        <v>357</v>
      </c>
      <c r="C44" s="126" t="s">
        <v>19376</v>
      </c>
      <c r="D44" s="126" t="s">
        <v>19299</v>
      </c>
      <c r="E44" s="243" t="s">
        <v>503</v>
      </c>
      <c r="F44" s="270" t="s">
        <v>504</v>
      </c>
      <c r="G44" s="247" t="s">
        <v>505</v>
      </c>
      <c r="H44" s="275" t="s">
        <v>506</v>
      </c>
      <c r="I44" s="126" t="s">
        <v>18496</v>
      </c>
    </row>
    <row r="45" spans="1:9" ht="69">
      <c r="A45" s="126" t="str">
        <f t="shared" si="0"/>
        <v>InstructionsA48</v>
      </c>
      <c r="B45" s="233" t="s">
        <v>357</v>
      </c>
      <c r="C45" s="126" t="s">
        <v>507</v>
      </c>
      <c r="D45" s="233" t="s">
        <v>508</v>
      </c>
      <c r="E45" s="239" t="s">
        <v>509</v>
      </c>
      <c r="F45" s="240" t="s">
        <v>510</v>
      </c>
      <c r="G45" s="249" t="s">
        <v>511</v>
      </c>
      <c r="H45" s="275" t="s">
        <v>512</v>
      </c>
      <c r="I45" s="126" t="s">
        <v>18497</v>
      </c>
    </row>
    <row r="46" spans="1:9" ht="69">
      <c r="A46" s="126" t="str">
        <f>B46&amp;C46</f>
        <v>InstructionsA49</v>
      </c>
      <c r="B46" s="126" t="s">
        <v>357</v>
      </c>
      <c r="C46" s="126" t="s">
        <v>513</v>
      </c>
      <c r="D46" s="126" t="s">
        <v>19422</v>
      </c>
      <c r="E46" s="126" t="s">
        <v>19564</v>
      </c>
      <c r="F46" s="240" t="s">
        <v>19920</v>
      </c>
      <c r="G46" s="126" t="s">
        <v>19566</v>
      </c>
      <c r="H46" s="278" t="s">
        <v>19567</v>
      </c>
      <c r="I46" s="126" t="s">
        <v>19568</v>
      </c>
    </row>
    <row r="47" spans="1:9" ht="138">
      <c r="A47" s="126" t="str">
        <f t="shared" si="0"/>
        <v>InstructionsA50</v>
      </c>
      <c r="B47" s="126" t="s">
        <v>357</v>
      </c>
      <c r="C47" s="126" t="s">
        <v>514</v>
      </c>
      <c r="D47" s="126" t="s">
        <v>515</v>
      </c>
      <c r="E47" s="273" t="s">
        <v>516</v>
      </c>
      <c r="F47" s="270" t="s">
        <v>517</v>
      </c>
      <c r="G47" s="126" t="s">
        <v>518</v>
      </c>
      <c r="H47" s="275" t="s">
        <v>519</v>
      </c>
      <c r="I47" s="126" t="s">
        <v>18498</v>
      </c>
    </row>
    <row r="48" spans="1:9" ht="69">
      <c r="A48" s="126" t="str">
        <f t="shared" si="0"/>
        <v>InstructionsA51</v>
      </c>
      <c r="B48" s="126" t="s">
        <v>357</v>
      </c>
      <c r="C48" s="126" t="s">
        <v>520</v>
      </c>
      <c r="D48" s="126" t="s">
        <v>19421</v>
      </c>
      <c r="E48" s="239" t="s">
        <v>521</v>
      </c>
      <c r="F48" s="240" t="s">
        <v>522</v>
      </c>
      <c r="G48" s="126" t="s">
        <v>523</v>
      </c>
      <c r="H48" s="275" t="s">
        <v>524</v>
      </c>
      <c r="I48" s="126" t="s">
        <v>18499</v>
      </c>
    </row>
    <row r="49" spans="1:9" ht="82.8">
      <c r="A49" s="126" t="str">
        <f t="shared" si="0"/>
        <v>InstructionsA52</v>
      </c>
      <c r="B49" s="126" t="s">
        <v>357</v>
      </c>
      <c r="C49" s="126" t="s">
        <v>525</v>
      </c>
      <c r="D49" s="126" t="s">
        <v>526</v>
      </c>
      <c r="E49" s="239" t="s">
        <v>527</v>
      </c>
      <c r="F49" s="240" t="s">
        <v>528</v>
      </c>
      <c r="G49" s="250" t="s">
        <v>529</v>
      </c>
      <c r="H49" s="275" t="s">
        <v>530</v>
      </c>
      <c r="I49" s="126" t="s">
        <v>18500</v>
      </c>
    </row>
    <row r="50" spans="1:9" ht="110.4">
      <c r="A50" s="126" t="str">
        <f>B50&amp;C50</f>
        <v>InstructionsA53</v>
      </c>
      <c r="B50" s="126" t="s">
        <v>357</v>
      </c>
      <c r="C50" s="126" t="s">
        <v>531</v>
      </c>
      <c r="D50" s="126" t="s">
        <v>532</v>
      </c>
      <c r="E50" s="239" t="s">
        <v>533</v>
      </c>
      <c r="F50" s="240" t="s">
        <v>534</v>
      </c>
      <c r="G50" s="250" t="s">
        <v>535</v>
      </c>
      <c r="H50" s="278" t="s">
        <v>536</v>
      </c>
      <c r="I50" s="126" t="s">
        <v>18501</v>
      </c>
    </row>
    <row r="51" spans="1:9" ht="69">
      <c r="A51" s="126" t="str">
        <f>B51&amp;C51</f>
        <v>InstructionsA54</v>
      </c>
      <c r="B51" s="126" t="s">
        <v>357</v>
      </c>
      <c r="C51" s="126" t="s">
        <v>537</v>
      </c>
      <c r="D51" s="126" t="s">
        <v>538</v>
      </c>
      <c r="E51" s="239" t="s">
        <v>539</v>
      </c>
      <c r="F51" s="240" t="s">
        <v>540</v>
      </c>
      <c r="G51" s="250" t="s">
        <v>541</v>
      </c>
      <c r="H51" s="275" t="s">
        <v>542</v>
      </c>
      <c r="I51" s="126" t="s">
        <v>18502</v>
      </c>
    </row>
    <row r="52" spans="1:9" ht="41.4">
      <c r="A52" s="126" t="str">
        <f t="shared" si="0"/>
        <v>InstructionsA55</v>
      </c>
      <c r="B52" s="126" t="s">
        <v>357</v>
      </c>
      <c r="C52" s="126" t="s">
        <v>543</v>
      </c>
      <c r="D52" s="126" t="s">
        <v>544</v>
      </c>
      <c r="E52" s="239" t="s">
        <v>545</v>
      </c>
      <c r="F52" s="240" t="s">
        <v>546</v>
      </c>
      <c r="G52" s="250" t="s">
        <v>547</v>
      </c>
      <c r="H52" s="275" t="s">
        <v>548</v>
      </c>
      <c r="I52" s="126" t="s">
        <v>18503</v>
      </c>
    </row>
    <row r="53" spans="1:9" ht="41.4">
      <c r="A53" s="126" t="str">
        <f t="shared" si="0"/>
        <v>InstructionsA56</v>
      </c>
      <c r="B53" s="126" t="s">
        <v>357</v>
      </c>
      <c r="C53" s="126" t="s">
        <v>549</v>
      </c>
      <c r="D53" s="126" t="s">
        <v>550</v>
      </c>
      <c r="E53" s="239" t="s">
        <v>551</v>
      </c>
      <c r="F53" s="240" t="s">
        <v>552</v>
      </c>
      <c r="G53" s="126" t="s">
        <v>553</v>
      </c>
      <c r="H53" s="275" t="s">
        <v>554</v>
      </c>
      <c r="I53" s="126" t="s">
        <v>18504</v>
      </c>
    </row>
    <row r="54" spans="1:9" ht="55.2">
      <c r="A54" s="126" t="str">
        <f t="shared" si="0"/>
        <v>InstructionsA57</v>
      </c>
      <c r="B54" s="126" t="s">
        <v>357</v>
      </c>
      <c r="C54" s="126" t="s">
        <v>555</v>
      </c>
      <c r="D54" s="126" t="s">
        <v>556</v>
      </c>
      <c r="E54" s="239" t="s">
        <v>557</v>
      </c>
      <c r="F54" s="240" t="s">
        <v>558</v>
      </c>
      <c r="G54" s="251" t="s">
        <v>559</v>
      </c>
      <c r="H54" s="275" t="s">
        <v>560</v>
      </c>
      <c r="I54" s="126" t="s">
        <v>18505</v>
      </c>
    </row>
    <row r="55" spans="1:9" ht="303.60000000000002">
      <c r="A55" s="126" t="str">
        <f t="shared" si="0"/>
        <v>InstructionsA58</v>
      </c>
      <c r="B55" s="126" t="s">
        <v>357</v>
      </c>
      <c r="C55" s="126" t="s">
        <v>561</v>
      </c>
      <c r="D55" s="126" t="s">
        <v>562</v>
      </c>
      <c r="E55" s="239" t="s">
        <v>563</v>
      </c>
      <c r="F55" s="240" t="s">
        <v>564</v>
      </c>
      <c r="G55" s="250" t="s">
        <v>565</v>
      </c>
      <c r="H55" s="275" t="s">
        <v>566</v>
      </c>
      <c r="I55" s="126" t="s">
        <v>18512</v>
      </c>
    </row>
    <row r="56" spans="1:9" ht="82.8">
      <c r="A56" s="126" t="str">
        <f t="shared" si="0"/>
        <v>InstructionsA59</v>
      </c>
      <c r="B56" s="126" t="s">
        <v>357</v>
      </c>
      <c r="C56" s="126" t="s">
        <v>567</v>
      </c>
      <c r="D56" s="126" t="s">
        <v>568</v>
      </c>
      <c r="E56" s="239" t="s">
        <v>569</v>
      </c>
      <c r="F56" s="240" t="s">
        <v>570</v>
      </c>
      <c r="G56" s="126" t="s">
        <v>571</v>
      </c>
      <c r="H56" s="275" t="s">
        <v>572</v>
      </c>
      <c r="I56" s="126" t="s">
        <v>18506</v>
      </c>
    </row>
    <row r="57" spans="1:9" ht="165.6">
      <c r="A57" s="126" t="str">
        <f t="shared" si="0"/>
        <v>InstructionsA60</v>
      </c>
      <c r="B57" s="126" t="s">
        <v>357</v>
      </c>
      <c r="C57" s="126" t="s">
        <v>573</v>
      </c>
      <c r="D57" s="126" t="s">
        <v>574</v>
      </c>
      <c r="E57" s="239" t="s">
        <v>575</v>
      </c>
      <c r="F57" s="240" t="s">
        <v>576</v>
      </c>
      <c r="G57" s="250" t="s">
        <v>577</v>
      </c>
      <c r="H57" s="275" t="s">
        <v>578</v>
      </c>
      <c r="I57" s="126" t="s">
        <v>18507</v>
      </c>
    </row>
    <row r="58" spans="1:9" ht="179.4">
      <c r="A58" s="126" t="str">
        <f t="shared" si="0"/>
        <v>InstructionsA61</v>
      </c>
      <c r="B58" s="126" t="s">
        <v>357</v>
      </c>
      <c r="C58" s="126" t="s">
        <v>579</v>
      </c>
      <c r="D58" s="126" t="s">
        <v>580</v>
      </c>
      <c r="E58" s="239" t="s">
        <v>581</v>
      </c>
      <c r="F58" s="240" t="s">
        <v>582</v>
      </c>
      <c r="G58" s="250" t="s">
        <v>583</v>
      </c>
      <c r="H58" s="275" t="s">
        <v>584</v>
      </c>
      <c r="I58" s="126" t="s">
        <v>18508</v>
      </c>
    </row>
    <row r="59" spans="1:9" ht="113.4">
      <c r="A59" s="126" t="str">
        <f>B59&amp;C59</f>
        <v>InstructionsA62</v>
      </c>
      <c r="B59" s="126" t="s">
        <v>357</v>
      </c>
      <c r="C59" s="126" t="s">
        <v>585</v>
      </c>
      <c r="D59" s="126" t="s">
        <v>586</v>
      </c>
      <c r="E59" s="273" t="s">
        <v>587</v>
      </c>
      <c r="F59" s="270" t="s">
        <v>588</v>
      </c>
      <c r="G59" s="250" t="s">
        <v>589</v>
      </c>
      <c r="H59" s="280" t="s">
        <v>590</v>
      </c>
      <c r="I59" s="126" t="s">
        <v>18509</v>
      </c>
    </row>
    <row r="60" spans="1:9" ht="43.2">
      <c r="A60" s="126" t="str">
        <f t="shared" si="0"/>
        <v>InstructionsA63</v>
      </c>
      <c r="B60" s="126" t="s">
        <v>357</v>
      </c>
      <c r="C60" s="126" t="s">
        <v>591</v>
      </c>
      <c r="D60" s="126" t="s">
        <v>592</v>
      </c>
      <c r="E60" s="239" t="s">
        <v>593</v>
      </c>
      <c r="F60" s="240" t="s">
        <v>594</v>
      </c>
      <c r="G60" s="126" t="s">
        <v>595</v>
      </c>
      <c r="H60" s="275" t="s">
        <v>596</v>
      </c>
      <c r="I60" s="126" t="s">
        <v>18510</v>
      </c>
    </row>
    <row r="61" spans="1:9" ht="27.6">
      <c r="A61" s="126" t="str">
        <f t="shared" ref="A61" si="3">B61&amp;C61</f>
        <v>InstructionsA65</v>
      </c>
      <c r="B61" s="126" t="s">
        <v>357</v>
      </c>
      <c r="C61" s="126" t="s">
        <v>597</v>
      </c>
      <c r="D61" s="126" t="s">
        <v>19423</v>
      </c>
      <c r="E61" s="239" t="s">
        <v>19424</v>
      </c>
      <c r="F61" s="240" t="s">
        <v>19425</v>
      </c>
      <c r="G61" s="126" t="s">
        <v>19426</v>
      </c>
      <c r="H61" s="275" t="s">
        <v>19427</v>
      </c>
      <c r="I61" s="126" t="s">
        <v>19428</v>
      </c>
    </row>
    <row r="62" spans="1:9" ht="69">
      <c r="A62" s="126" t="str">
        <f t="shared" ref="A62:A63" si="4">B62&amp;C62</f>
        <v>InstructionsA66</v>
      </c>
      <c r="B62" s="126" t="s">
        <v>357</v>
      </c>
      <c r="C62" s="126" t="s">
        <v>19501</v>
      </c>
      <c r="D62" s="126" t="s">
        <v>19921</v>
      </c>
      <c r="E62" s="239" t="s">
        <v>19923</v>
      </c>
      <c r="F62" s="240" t="s">
        <v>19922</v>
      </c>
      <c r="G62" s="126" t="s">
        <v>19924</v>
      </c>
      <c r="H62" s="275" t="s">
        <v>19925</v>
      </c>
      <c r="I62" s="126" t="s">
        <v>19926</v>
      </c>
    </row>
    <row r="63" spans="1:9" ht="55.2">
      <c r="A63" s="126" t="str">
        <f t="shared" si="4"/>
        <v>InstructionsA67</v>
      </c>
      <c r="B63" s="126" t="s">
        <v>357</v>
      </c>
      <c r="C63" s="126" t="s">
        <v>603</v>
      </c>
      <c r="D63" s="126" t="s">
        <v>19429</v>
      </c>
      <c r="E63" s="239" t="s">
        <v>19430</v>
      </c>
      <c r="F63" s="240" t="s">
        <v>19431</v>
      </c>
      <c r="G63" s="126" t="s">
        <v>19432</v>
      </c>
      <c r="H63" s="275" t="s">
        <v>19433</v>
      </c>
      <c r="I63" s="126" t="s">
        <v>19434</v>
      </c>
    </row>
    <row r="64" spans="1:9" ht="27.6">
      <c r="A64" s="126" t="str">
        <f t="shared" ref="A64:A74" si="5">B64&amp;C64</f>
        <v>InstructionsA68</v>
      </c>
      <c r="B64" s="126" t="s">
        <v>357</v>
      </c>
      <c r="C64" s="126" t="s">
        <v>609</v>
      </c>
      <c r="D64" s="126" t="s">
        <v>19435</v>
      </c>
      <c r="E64" s="239" t="s">
        <v>19436</v>
      </c>
      <c r="F64" s="240" t="s">
        <v>19437</v>
      </c>
      <c r="G64" s="126" t="s">
        <v>19438</v>
      </c>
      <c r="H64" s="275" t="s">
        <v>19439</v>
      </c>
      <c r="I64" s="126" t="s">
        <v>19440</v>
      </c>
    </row>
    <row r="65" spans="1:9" ht="96.6">
      <c r="A65" s="126" t="str">
        <f t="shared" si="5"/>
        <v>InstructionsA69</v>
      </c>
      <c r="B65" s="126" t="s">
        <v>357</v>
      </c>
      <c r="C65" s="126" t="s">
        <v>615</v>
      </c>
      <c r="D65" s="126" t="s">
        <v>19441</v>
      </c>
      <c r="E65" s="239" t="s">
        <v>19442</v>
      </c>
      <c r="F65" s="240" t="s">
        <v>19443</v>
      </c>
      <c r="G65" s="126" t="s">
        <v>19444</v>
      </c>
      <c r="H65" s="275" t="s">
        <v>19445</v>
      </c>
      <c r="I65" s="126" t="s">
        <v>19446</v>
      </c>
    </row>
    <row r="66" spans="1:9" ht="41.4">
      <c r="A66" s="126" t="str">
        <f t="shared" si="5"/>
        <v>InstructionsA70</v>
      </c>
      <c r="B66" s="126" t="s">
        <v>357</v>
      </c>
      <c r="C66" s="126" t="s">
        <v>621</v>
      </c>
      <c r="D66" s="126" t="s">
        <v>19447</v>
      </c>
      <c r="E66" s="239" t="s">
        <v>19448</v>
      </c>
      <c r="F66" s="240" t="s">
        <v>19449</v>
      </c>
      <c r="G66" s="126" t="s">
        <v>19450</v>
      </c>
      <c r="H66" s="275" t="s">
        <v>19451</v>
      </c>
      <c r="I66" s="126" t="s">
        <v>19452</v>
      </c>
    </row>
    <row r="67" spans="1:9" ht="39.6">
      <c r="A67" s="126" t="str">
        <f t="shared" si="5"/>
        <v>InstructionsA71</v>
      </c>
      <c r="B67" s="126" t="s">
        <v>357</v>
      </c>
      <c r="C67" s="126" t="s">
        <v>627</v>
      </c>
      <c r="D67" s="126" t="s">
        <v>19453</v>
      </c>
      <c r="E67" s="239" t="s">
        <v>19454</v>
      </c>
      <c r="F67" s="240" t="s">
        <v>19455</v>
      </c>
      <c r="G67" s="126" t="s">
        <v>19456</v>
      </c>
      <c r="H67" s="275" t="s">
        <v>19457</v>
      </c>
      <c r="I67" s="126" t="s">
        <v>19458</v>
      </c>
    </row>
    <row r="68" spans="1:9" ht="41.4">
      <c r="A68" s="126" t="str">
        <f t="shared" si="5"/>
        <v>InstructionsA72</v>
      </c>
      <c r="B68" s="126" t="s">
        <v>357</v>
      </c>
      <c r="C68" s="126" t="s">
        <v>633</v>
      </c>
      <c r="D68" s="126" t="s">
        <v>19459</v>
      </c>
      <c r="E68" s="239" t="s">
        <v>19460</v>
      </c>
      <c r="F68" s="240" t="s">
        <v>19461</v>
      </c>
      <c r="G68" s="126" t="s">
        <v>19462</v>
      </c>
      <c r="H68" s="275" t="s">
        <v>19463</v>
      </c>
      <c r="I68" s="126" t="s">
        <v>19464</v>
      </c>
    </row>
    <row r="69" spans="1:9" ht="41.4">
      <c r="A69" s="126" t="str">
        <f t="shared" si="5"/>
        <v>InstructionsA73</v>
      </c>
      <c r="B69" s="126" t="s">
        <v>357</v>
      </c>
      <c r="C69" s="126" t="s">
        <v>639</v>
      </c>
      <c r="D69" s="126" t="s">
        <v>19465</v>
      </c>
      <c r="E69" s="239" t="s">
        <v>19466</v>
      </c>
      <c r="F69" s="240" t="s">
        <v>19467</v>
      </c>
      <c r="G69" s="126" t="s">
        <v>19468</v>
      </c>
      <c r="H69" s="275" t="s">
        <v>19469</v>
      </c>
      <c r="I69" s="126" t="s">
        <v>19470</v>
      </c>
    </row>
    <row r="70" spans="1:9" ht="55.2">
      <c r="A70" s="126" t="str">
        <f t="shared" si="5"/>
        <v>InstructionsA74</v>
      </c>
      <c r="B70" s="126" t="s">
        <v>357</v>
      </c>
      <c r="C70" s="126" t="s">
        <v>19502</v>
      </c>
      <c r="D70" s="126" t="s">
        <v>19471</v>
      </c>
      <c r="E70" s="239" t="s">
        <v>19472</v>
      </c>
      <c r="F70" s="240" t="s">
        <v>19473</v>
      </c>
      <c r="G70" s="126" t="s">
        <v>19474</v>
      </c>
      <c r="H70" s="275" t="s">
        <v>19475</v>
      </c>
      <c r="I70" s="126" t="s">
        <v>19476</v>
      </c>
    </row>
    <row r="71" spans="1:9" ht="207">
      <c r="A71" s="126" t="str">
        <f t="shared" si="5"/>
        <v>InstructionsA75</v>
      </c>
      <c r="B71" s="126" t="s">
        <v>357</v>
      </c>
      <c r="C71" s="126" t="s">
        <v>19503</v>
      </c>
      <c r="D71" s="126" t="s">
        <v>19477</v>
      </c>
      <c r="E71" s="239" t="s">
        <v>19478</v>
      </c>
      <c r="F71" s="240" t="s">
        <v>19479</v>
      </c>
      <c r="G71" s="126" t="s">
        <v>19480</v>
      </c>
      <c r="H71" s="275" t="s">
        <v>19481</v>
      </c>
      <c r="I71" s="126" t="s">
        <v>19482</v>
      </c>
    </row>
    <row r="72" spans="1:9" ht="69">
      <c r="A72" s="126" t="str">
        <f t="shared" si="5"/>
        <v>InstructionsA76</v>
      </c>
      <c r="B72" s="126" t="s">
        <v>357</v>
      </c>
      <c r="C72" s="126" t="s">
        <v>19504</v>
      </c>
      <c r="D72" s="126" t="s">
        <v>19483</v>
      </c>
      <c r="E72" s="239" t="s">
        <v>19484</v>
      </c>
      <c r="F72" s="240" t="s">
        <v>19485</v>
      </c>
      <c r="G72" s="126" t="s">
        <v>19486</v>
      </c>
      <c r="H72" s="275" t="s">
        <v>19487</v>
      </c>
      <c r="I72" s="126" t="s">
        <v>19488</v>
      </c>
    </row>
    <row r="73" spans="1:9" ht="124.2">
      <c r="A73" s="126" t="str">
        <f t="shared" si="5"/>
        <v>InstructionsA77</v>
      </c>
      <c r="B73" s="126" t="s">
        <v>357</v>
      </c>
      <c r="C73" s="126" t="s">
        <v>19505</v>
      </c>
      <c r="D73" s="126" t="s">
        <v>19489</v>
      </c>
      <c r="E73" s="239" t="s">
        <v>19490</v>
      </c>
      <c r="F73" s="240" t="s">
        <v>19491</v>
      </c>
      <c r="G73" s="126" t="s">
        <v>19492</v>
      </c>
      <c r="H73" s="275" t="s">
        <v>19493</v>
      </c>
      <c r="I73" s="126" t="s">
        <v>19494</v>
      </c>
    </row>
    <row r="74" spans="1:9" ht="43.2">
      <c r="A74" s="126" t="str">
        <f t="shared" si="5"/>
        <v>InstructionsA78</v>
      </c>
      <c r="B74" s="126" t="s">
        <v>357</v>
      </c>
      <c r="C74" s="126" t="s">
        <v>19506</v>
      </c>
      <c r="D74" s="126" t="s">
        <v>19495</v>
      </c>
      <c r="E74" s="239" t="s">
        <v>19496</v>
      </c>
      <c r="F74" s="240" t="s">
        <v>19497</v>
      </c>
      <c r="G74" s="126" t="s">
        <v>19498</v>
      </c>
      <c r="H74" s="275" t="s">
        <v>19499</v>
      </c>
      <c r="I74" s="126" t="s">
        <v>19500</v>
      </c>
    </row>
    <row r="75" spans="1:9" ht="194.4">
      <c r="A75" s="126" t="str">
        <f>B75&amp;C75</f>
        <v>InstructionsA80</v>
      </c>
      <c r="B75" s="126" t="s">
        <v>357</v>
      </c>
      <c r="C75" s="126" t="s">
        <v>19507</v>
      </c>
      <c r="D75" s="126" t="s">
        <v>598</v>
      </c>
      <c r="E75" s="239" t="s">
        <v>599</v>
      </c>
      <c r="F75" s="240" t="s">
        <v>600</v>
      </c>
      <c r="G75" s="126" t="s">
        <v>601</v>
      </c>
      <c r="H75" s="278" t="s">
        <v>602</v>
      </c>
      <c r="I75" s="126" t="s">
        <v>18511</v>
      </c>
    </row>
    <row r="76" spans="1:9" ht="28.8">
      <c r="A76" s="126" t="str">
        <f t="shared" si="0"/>
        <v>InstructionsA82</v>
      </c>
      <c r="B76" s="126" t="s">
        <v>357</v>
      </c>
      <c r="C76" s="126" t="s">
        <v>19508</v>
      </c>
      <c r="D76" s="126" t="s">
        <v>604</v>
      </c>
      <c r="E76" s="239" t="s">
        <v>605</v>
      </c>
      <c r="F76" s="240" t="s">
        <v>606</v>
      </c>
      <c r="G76" s="126" t="s">
        <v>607</v>
      </c>
      <c r="H76" s="278" t="s">
        <v>608</v>
      </c>
      <c r="I76" s="126" t="s">
        <v>18513</v>
      </c>
    </row>
    <row r="77" spans="1:9" ht="276">
      <c r="A77" s="126" t="str">
        <f t="shared" si="0"/>
        <v>InstructionsA83</v>
      </c>
      <c r="B77" s="126" t="s">
        <v>357</v>
      </c>
      <c r="C77" s="126" t="s">
        <v>19509</v>
      </c>
      <c r="D77" s="126" t="s">
        <v>610</v>
      </c>
      <c r="E77" s="239" t="s">
        <v>611</v>
      </c>
      <c r="F77" s="240" t="s">
        <v>612</v>
      </c>
      <c r="G77" s="250" t="s">
        <v>613</v>
      </c>
      <c r="H77" s="275" t="s">
        <v>614</v>
      </c>
      <c r="I77" s="126" t="s">
        <v>18519</v>
      </c>
    </row>
    <row r="78" spans="1:9" ht="151.80000000000001">
      <c r="A78" s="126" t="str">
        <f t="shared" si="0"/>
        <v>InstructionsA84</v>
      </c>
      <c r="B78" s="126" t="s">
        <v>357</v>
      </c>
      <c r="C78" s="126" t="s">
        <v>19510</v>
      </c>
      <c r="D78" s="126" t="s">
        <v>616</v>
      </c>
      <c r="E78" s="239" t="s">
        <v>617</v>
      </c>
      <c r="F78" s="240" t="s">
        <v>618</v>
      </c>
      <c r="G78" s="250" t="s">
        <v>619</v>
      </c>
      <c r="H78" s="275" t="s">
        <v>620</v>
      </c>
      <c r="I78" s="126" t="s">
        <v>18514</v>
      </c>
    </row>
    <row r="79" spans="1:9" ht="138">
      <c r="A79" s="126" t="str">
        <f t="shared" si="0"/>
        <v>InstructionsA85</v>
      </c>
      <c r="B79" s="126" t="s">
        <v>357</v>
      </c>
      <c r="C79" s="126" t="s">
        <v>19511</v>
      </c>
      <c r="D79" s="126" t="s">
        <v>622</v>
      </c>
      <c r="E79" s="239" t="s">
        <v>623</v>
      </c>
      <c r="F79" s="240" t="s">
        <v>624</v>
      </c>
      <c r="G79" s="250" t="s">
        <v>625</v>
      </c>
      <c r="H79" s="275" t="s">
        <v>626</v>
      </c>
      <c r="I79" s="126" t="s">
        <v>18515</v>
      </c>
    </row>
    <row r="80" spans="1:9" ht="289.8">
      <c r="A80" s="126" t="str">
        <f t="shared" si="0"/>
        <v>InstructionsA86</v>
      </c>
      <c r="B80" s="126" t="s">
        <v>357</v>
      </c>
      <c r="C80" s="126" t="s">
        <v>19512</v>
      </c>
      <c r="D80" s="126" t="s">
        <v>628</v>
      </c>
      <c r="E80" s="239" t="s">
        <v>629</v>
      </c>
      <c r="F80" s="240" t="s">
        <v>630</v>
      </c>
      <c r="G80" s="250" t="s">
        <v>631</v>
      </c>
      <c r="H80" s="275" t="s">
        <v>632</v>
      </c>
      <c r="I80" s="126" t="s">
        <v>18516</v>
      </c>
    </row>
    <row r="81" spans="1:9" ht="96.6">
      <c r="A81" s="126" t="str">
        <f t="shared" si="0"/>
        <v>InstructionsA87</v>
      </c>
      <c r="B81" s="126" t="s">
        <v>357</v>
      </c>
      <c r="C81" s="126" t="s">
        <v>19513</v>
      </c>
      <c r="D81" s="126" t="s">
        <v>634</v>
      </c>
      <c r="E81" s="239" t="s">
        <v>635</v>
      </c>
      <c r="F81" s="240" t="s">
        <v>636</v>
      </c>
      <c r="G81" s="250" t="s">
        <v>637</v>
      </c>
      <c r="H81" s="275" t="s">
        <v>638</v>
      </c>
      <c r="I81" s="126" t="s">
        <v>18517</v>
      </c>
    </row>
    <row r="82" spans="1:9" ht="41.4">
      <c r="A82" s="126" t="str">
        <f t="shared" si="0"/>
        <v>InstructionsA88</v>
      </c>
      <c r="B82" s="126" t="s">
        <v>357</v>
      </c>
      <c r="C82" s="126" t="s">
        <v>19514</v>
      </c>
      <c r="D82" s="126" t="s">
        <v>640</v>
      </c>
      <c r="E82" s="239" t="s">
        <v>641</v>
      </c>
      <c r="F82" s="240" t="s">
        <v>642</v>
      </c>
      <c r="G82" s="250" t="s">
        <v>643</v>
      </c>
      <c r="H82" s="275" t="s">
        <v>644</v>
      </c>
      <c r="I82" s="126" t="s">
        <v>18518</v>
      </c>
    </row>
    <row r="83" spans="1:9">
      <c r="A83" s="126" t="str">
        <f t="shared" si="0"/>
        <v>DefinitionsB2</v>
      </c>
      <c r="B83" s="126" t="s">
        <v>645</v>
      </c>
      <c r="C83" s="126" t="s">
        <v>646</v>
      </c>
      <c r="D83" s="126" t="s">
        <v>647</v>
      </c>
      <c r="E83" s="239" t="s">
        <v>648</v>
      </c>
      <c r="F83" s="240" t="s">
        <v>649</v>
      </c>
      <c r="G83" s="126" t="s">
        <v>650</v>
      </c>
      <c r="H83" s="275" t="s">
        <v>647</v>
      </c>
      <c r="I83" s="126" t="s">
        <v>18520</v>
      </c>
    </row>
    <row r="84" spans="1:9">
      <c r="A84" s="126" t="str">
        <f t="shared" si="0"/>
        <v>DefinitionsB3</v>
      </c>
      <c r="B84" s="126" t="s">
        <v>645</v>
      </c>
      <c r="C84" s="126" t="s">
        <v>651</v>
      </c>
      <c r="D84" s="126" t="s">
        <v>652</v>
      </c>
      <c r="E84" s="239" t="s">
        <v>653</v>
      </c>
      <c r="F84" s="240" t="s">
        <v>654</v>
      </c>
      <c r="G84" s="126" t="s">
        <v>655</v>
      </c>
      <c r="H84" s="275" t="s">
        <v>656</v>
      </c>
      <c r="I84" s="188" t="s">
        <v>18521</v>
      </c>
    </row>
    <row r="85" spans="1:9" ht="13.8">
      <c r="A85" s="126" t="str">
        <f t="shared" ref="A85" si="6">B85&amp;C85</f>
        <v>DefinitionsB4</v>
      </c>
      <c r="B85" s="126" t="s">
        <v>645</v>
      </c>
      <c r="C85" s="126" t="s">
        <v>657</v>
      </c>
      <c r="D85" s="245" t="s">
        <v>658</v>
      </c>
      <c r="E85" s="245" t="s">
        <v>659</v>
      </c>
      <c r="F85" s="252" t="s">
        <v>660</v>
      </c>
      <c r="G85" s="245" t="s">
        <v>661</v>
      </c>
      <c r="H85" s="275" t="s">
        <v>662</v>
      </c>
      <c r="I85" s="188" t="s">
        <v>18586</v>
      </c>
    </row>
    <row r="86" spans="1:9">
      <c r="A86" s="126" t="str">
        <f>B86&amp;C86</f>
        <v>DefinitionsB5</v>
      </c>
      <c r="B86" s="126" t="s">
        <v>645</v>
      </c>
      <c r="C86" s="126" t="s">
        <v>663</v>
      </c>
      <c r="D86" s="126" t="s">
        <v>664</v>
      </c>
      <c r="E86" s="239" t="s">
        <v>665</v>
      </c>
      <c r="F86" s="240" t="s">
        <v>666</v>
      </c>
      <c r="G86" s="126" t="s">
        <v>667</v>
      </c>
      <c r="H86" s="275" t="s">
        <v>668</v>
      </c>
      <c r="I86" s="188" t="s">
        <v>18522</v>
      </c>
    </row>
    <row r="87" spans="1:9" ht="13.8">
      <c r="A87" s="126" t="str">
        <f t="shared" ref="A87:A150" si="7">B87&amp;C87</f>
        <v>DefinitionsB6</v>
      </c>
      <c r="B87" s="126" t="s">
        <v>645</v>
      </c>
      <c r="C87" s="126" t="s">
        <v>669</v>
      </c>
      <c r="D87" s="245" t="s">
        <v>19339</v>
      </c>
      <c r="E87" s="245" t="s">
        <v>19569</v>
      </c>
      <c r="F87" s="245" t="s">
        <v>19927</v>
      </c>
      <c r="G87" s="245" t="s">
        <v>19570</v>
      </c>
      <c r="H87" s="245" t="s">
        <v>19572</v>
      </c>
      <c r="I87" s="245" t="s">
        <v>19571</v>
      </c>
    </row>
    <row r="88" spans="1:9">
      <c r="A88" s="126" t="str">
        <f t="shared" si="7"/>
        <v>DefinitionsB7</v>
      </c>
      <c r="B88" s="126" t="s">
        <v>645</v>
      </c>
      <c r="C88" s="126" t="s">
        <v>675</v>
      </c>
      <c r="D88" s="126" t="s">
        <v>670</v>
      </c>
      <c r="E88" s="239" t="s">
        <v>671</v>
      </c>
      <c r="F88" s="240" t="s">
        <v>672</v>
      </c>
      <c r="G88" s="126" t="s">
        <v>673</v>
      </c>
      <c r="H88" s="275" t="s">
        <v>674</v>
      </c>
      <c r="I88" s="188" t="s">
        <v>18523</v>
      </c>
    </row>
    <row r="89" spans="1:9">
      <c r="A89" s="126" t="str">
        <f t="shared" si="7"/>
        <v>DefinitionsB8</v>
      </c>
      <c r="B89" s="126" t="s">
        <v>645</v>
      </c>
      <c r="C89" s="126" t="s">
        <v>681</v>
      </c>
      <c r="D89" s="126" t="s">
        <v>676</v>
      </c>
      <c r="E89" s="239" t="s">
        <v>677</v>
      </c>
      <c r="F89" s="240" t="s">
        <v>678</v>
      </c>
      <c r="G89" s="126" t="s">
        <v>679</v>
      </c>
      <c r="H89" s="275" t="s">
        <v>680</v>
      </c>
      <c r="I89" s="188" t="s">
        <v>18543</v>
      </c>
    </row>
    <row r="90" spans="1:9" ht="13.8">
      <c r="A90" s="126" t="str">
        <f t="shared" ref="A90" si="8">B90&amp;C90</f>
        <v>DefinitionsB9</v>
      </c>
      <c r="B90" s="126" t="s">
        <v>645</v>
      </c>
      <c r="C90" s="126" t="s">
        <v>687</v>
      </c>
      <c r="D90" s="372" t="s">
        <v>19891</v>
      </c>
      <c r="E90" s="372" t="s">
        <v>19581</v>
      </c>
      <c r="F90" s="372" t="s">
        <v>19582</v>
      </c>
      <c r="G90" s="372" t="s">
        <v>19583</v>
      </c>
      <c r="H90" s="372" t="s">
        <v>19584</v>
      </c>
      <c r="I90" s="372" t="s">
        <v>19585</v>
      </c>
    </row>
    <row r="91" spans="1:9" ht="13.8">
      <c r="A91" s="126" t="str">
        <f t="shared" ref="A91" si="9">B91&amp;C91</f>
        <v>DefinitionsB10</v>
      </c>
      <c r="B91" s="126" t="s">
        <v>645</v>
      </c>
      <c r="C91" s="126" t="s">
        <v>692</v>
      </c>
      <c r="D91" s="245" t="s">
        <v>19400</v>
      </c>
      <c r="E91" s="245" t="s">
        <v>19573</v>
      </c>
      <c r="F91" s="245" t="s">
        <v>19928</v>
      </c>
      <c r="G91" s="245" t="s">
        <v>19574</v>
      </c>
      <c r="H91" s="245" t="s">
        <v>19576</v>
      </c>
      <c r="I91" s="245" t="s">
        <v>19575</v>
      </c>
    </row>
    <row r="92" spans="1:9">
      <c r="A92" s="126" t="str">
        <f t="shared" si="7"/>
        <v>DefinitionsB11</v>
      </c>
      <c r="B92" s="126" t="s">
        <v>645</v>
      </c>
      <c r="C92" s="126" t="s">
        <v>697</v>
      </c>
      <c r="D92" s="126" t="s">
        <v>682</v>
      </c>
      <c r="E92" s="239" t="s">
        <v>683</v>
      </c>
      <c r="F92" s="240" t="s">
        <v>684</v>
      </c>
      <c r="G92" s="126" t="s">
        <v>685</v>
      </c>
      <c r="H92" s="275" t="s">
        <v>686</v>
      </c>
      <c r="I92" s="188" t="s">
        <v>18524</v>
      </c>
    </row>
    <row r="93" spans="1:9">
      <c r="A93" s="126" t="str">
        <f t="shared" si="7"/>
        <v>DefinitionsB12</v>
      </c>
      <c r="B93" s="126" t="s">
        <v>645</v>
      </c>
      <c r="C93" s="126" t="s">
        <v>703</v>
      </c>
      <c r="D93" s="126" t="s">
        <v>688</v>
      </c>
      <c r="E93" s="239" t="s">
        <v>689</v>
      </c>
      <c r="F93" s="240" t="s">
        <v>19990</v>
      </c>
      <c r="G93" s="126" t="s">
        <v>690</v>
      </c>
      <c r="H93" s="275" t="s">
        <v>691</v>
      </c>
      <c r="I93" s="188" t="s">
        <v>18525</v>
      </c>
    </row>
    <row r="94" spans="1:9" ht="13.8">
      <c r="A94" s="126" t="str">
        <f t="shared" si="7"/>
        <v>DefinitionsB13</v>
      </c>
      <c r="B94" s="126" t="s">
        <v>645</v>
      </c>
      <c r="C94" s="126" t="s">
        <v>708</v>
      </c>
      <c r="D94" s="245" t="s">
        <v>19338</v>
      </c>
      <c r="E94" s="245" t="s">
        <v>19577</v>
      </c>
      <c r="F94" s="245" t="s">
        <v>19929</v>
      </c>
      <c r="G94" s="245" t="s">
        <v>19578</v>
      </c>
      <c r="H94" s="245" t="s">
        <v>19579</v>
      </c>
      <c r="I94" s="245" t="s">
        <v>19580</v>
      </c>
    </row>
    <row r="95" spans="1:9">
      <c r="A95" s="126" t="str">
        <f t="shared" si="7"/>
        <v>DefinitionsB14</v>
      </c>
      <c r="B95" s="126" t="s">
        <v>645</v>
      </c>
      <c r="C95" s="126" t="s">
        <v>714</v>
      </c>
      <c r="D95" s="126" t="s">
        <v>693</v>
      </c>
      <c r="E95" s="239" t="s">
        <v>694</v>
      </c>
      <c r="F95" s="240" t="s">
        <v>695</v>
      </c>
      <c r="G95" s="126" t="s">
        <v>693</v>
      </c>
      <c r="H95" s="275" t="s">
        <v>696</v>
      </c>
      <c r="I95" s="188" t="s">
        <v>693</v>
      </c>
    </row>
    <row r="96" spans="1:9" ht="13.8">
      <c r="A96" s="126" t="str">
        <f t="shared" si="7"/>
        <v>DefinitionsB15</v>
      </c>
      <c r="B96" s="126" t="s">
        <v>645</v>
      </c>
      <c r="C96" s="126" t="s">
        <v>720</v>
      </c>
      <c r="D96" s="245" t="s">
        <v>698</v>
      </c>
      <c r="E96" s="245" t="s">
        <v>699</v>
      </c>
      <c r="F96" s="253" t="s">
        <v>700</v>
      </c>
      <c r="G96" s="254" t="s">
        <v>701</v>
      </c>
      <c r="H96" s="275" t="s">
        <v>702</v>
      </c>
      <c r="I96" s="188" t="s">
        <v>18533</v>
      </c>
    </row>
    <row r="97" spans="1:9" ht="13.8">
      <c r="A97" s="126" t="str">
        <f t="shared" si="7"/>
        <v>DefinitionsB16</v>
      </c>
      <c r="B97" s="126" t="s">
        <v>645</v>
      </c>
      <c r="C97" s="126" t="s">
        <v>726</v>
      </c>
      <c r="D97" s="245" t="s">
        <v>704</v>
      </c>
      <c r="E97" s="245" t="s">
        <v>705</v>
      </c>
      <c r="F97" s="253" t="s">
        <v>706</v>
      </c>
      <c r="G97" s="255" t="s">
        <v>707</v>
      </c>
      <c r="H97" s="275" t="s">
        <v>18531</v>
      </c>
      <c r="I97" s="188" t="s">
        <v>18534</v>
      </c>
    </row>
    <row r="98" spans="1:9" ht="13.8">
      <c r="A98" s="126" t="str">
        <f t="shared" si="7"/>
        <v>DefinitionsB17</v>
      </c>
      <c r="B98" s="126" t="s">
        <v>645</v>
      </c>
      <c r="C98" s="126" t="s">
        <v>729</v>
      </c>
      <c r="D98" s="245" t="s">
        <v>19887</v>
      </c>
      <c r="E98" s="245" t="s">
        <v>19888</v>
      </c>
      <c r="F98" s="253" t="s">
        <v>19899</v>
      </c>
      <c r="G98" s="255" t="s">
        <v>19889</v>
      </c>
      <c r="H98" s="279" t="s">
        <v>19900</v>
      </c>
      <c r="I98" s="245" t="s">
        <v>19890</v>
      </c>
    </row>
    <row r="99" spans="1:9" ht="13.8">
      <c r="A99" s="126" t="str">
        <f t="shared" si="7"/>
        <v>DefinitionsB18</v>
      </c>
      <c r="B99" s="126" t="s">
        <v>645</v>
      </c>
      <c r="C99" s="126" t="s">
        <v>735</v>
      </c>
      <c r="D99" s="245" t="s">
        <v>19340</v>
      </c>
      <c r="E99" s="245" t="s">
        <v>19586</v>
      </c>
      <c r="F99" s="245" t="s">
        <v>19992</v>
      </c>
      <c r="G99" s="245" t="s">
        <v>19587</v>
      </c>
      <c r="H99" s="245" t="s">
        <v>19588</v>
      </c>
      <c r="I99" s="245" t="s">
        <v>19589</v>
      </c>
    </row>
    <row r="100" spans="1:9" ht="13.8">
      <c r="A100" s="126" t="str">
        <f t="shared" si="7"/>
        <v>DefinitionsB19</v>
      </c>
      <c r="B100" s="126" t="s">
        <v>645</v>
      </c>
      <c r="C100" s="126" t="s">
        <v>741</v>
      </c>
      <c r="D100" s="245" t="s">
        <v>709</v>
      </c>
      <c r="E100" s="245" t="s">
        <v>710</v>
      </c>
      <c r="F100" s="252" t="s">
        <v>711</v>
      </c>
      <c r="G100" s="255" t="s">
        <v>712</v>
      </c>
      <c r="H100" s="275" t="s">
        <v>713</v>
      </c>
      <c r="I100" s="188" t="s">
        <v>18532</v>
      </c>
    </row>
    <row r="101" spans="1:9">
      <c r="A101" s="126" t="str">
        <f t="shared" si="7"/>
        <v>DefinitionsB20</v>
      </c>
      <c r="B101" s="126" t="s">
        <v>645</v>
      </c>
      <c r="C101" s="126" t="s">
        <v>747</v>
      </c>
      <c r="D101" s="126" t="s">
        <v>715</v>
      </c>
      <c r="E101" s="239" t="s">
        <v>716</v>
      </c>
      <c r="F101" s="240" t="s">
        <v>717</v>
      </c>
      <c r="G101" s="126" t="s">
        <v>718</v>
      </c>
      <c r="H101" s="275" t="s">
        <v>719</v>
      </c>
      <c r="I101" s="188" t="s">
        <v>18526</v>
      </c>
    </row>
    <row r="102" spans="1:9" ht="26.4">
      <c r="A102" s="126" t="str">
        <f t="shared" si="7"/>
        <v>DefinitionsB21</v>
      </c>
      <c r="B102" s="126" t="s">
        <v>645</v>
      </c>
      <c r="C102" s="126" t="s">
        <v>753</v>
      </c>
      <c r="D102" s="126" t="s">
        <v>721</v>
      </c>
      <c r="E102" s="239" t="s">
        <v>722</v>
      </c>
      <c r="F102" s="240" t="s">
        <v>723</v>
      </c>
      <c r="G102" s="126" t="s">
        <v>724</v>
      </c>
      <c r="H102" s="275" t="s">
        <v>725</v>
      </c>
      <c r="I102" s="188" t="s">
        <v>18527</v>
      </c>
    </row>
    <row r="103" spans="1:9">
      <c r="A103" s="126" t="str">
        <f t="shared" si="7"/>
        <v>DefinitionsB22</v>
      </c>
      <c r="B103" s="126" t="s">
        <v>645</v>
      </c>
      <c r="C103" s="126" t="s">
        <v>19334</v>
      </c>
      <c r="D103" s="126" t="s">
        <v>727</v>
      </c>
      <c r="E103" s="239" t="s">
        <v>728</v>
      </c>
      <c r="F103" s="240" t="s">
        <v>727</v>
      </c>
      <c r="G103" s="126" t="s">
        <v>727</v>
      </c>
      <c r="H103" s="275" t="s">
        <v>727</v>
      </c>
      <c r="I103" s="275" t="s">
        <v>727</v>
      </c>
    </row>
    <row r="104" spans="1:9">
      <c r="A104" s="126" t="str">
        <f t="shared" si="7"/>
        <v>DefinitionsB23</v>
      </c>
      <c r="B104" s="126" t="s">
        <v>645</v>
      </c>
      <c r="C104" s="126" t="s">
        <v>19335</v>
      </c>
      <c r="D104" s="126" t="s">
        <v>730</v>
      </c>
      <c r="E104" s="239" t="s">
        <v>731</v>
      </c>
      <c r="F104" s="240" t="s">
        <v>732</v>
      </c>
      <c r="G104" s="126" t="s">
        <v>733</v>
      </c>
      <c r="H104" s="275" t="s">
        <v>734</v>
      </c>
      <c r="I104" s="188" t="s">
        <v>730</v>
      </c>
    </row>
    <row r="105" spans="1:9">
      <c r="A105" s="126" t="str">
        <f t="shared" si="7"/>
        <v>DefinitionsB24</v>
      </c>
      <c r="B105" s="126" t="s">
        <v>645</v>
      </c>
      <c r="C105" s="126" t="s">
        <v>19336</v>
      </c>
      <c r="D105" s="126" t="s">
        <v>736</v>
      </c>
      <c r="E105" s="239" t="s">
        <v>737</v>
      </c>
      <c r="F105" s="240" t="s">
        <v>738</v>
      </c>
      <c r="G105" s="126" t="s">
        <v>739</v>
      </c>
      <c r="H105" s="275" t="s">
        <v>740</v>
      </c>
      <c r="I105" s="188" t="s">
        <v>18528</v>
      </c>
    </row>
    <row r="106" spans="1:9">
      <c r="A106" s="126" t="str">
        <f t="shared" si="7"/>
        <v>DefinitionsB25</v>
      </c>
      <c r="B106" s="126" t="s">
        <v>645</v>
      </c>
      <c r="C106" s="126" t="s">
        <v>19337</v>
      </c>
      <c r="D106" s="126" t="s">
        <v>742</v>
      </c>
      <c r="E106" s="239" t="s">
        <v>743</v>
      </c>
      <c r="F106" s="240" t="s">
        <v>744</v>
      </c>
      <c r="G106" s="126" t="s">
        <v>745</v>
      </c>
      <c r="H106" s="275" t="s">
        <v>746</v>
      </c>
      <c r="I106" s="188" t="s">
        <v>18535</v>
      </c>
    </row>
    <row r="107" spans="1:9">
      <c r="A107" s="126" t="str">
        <f t="shared" si="7"/>
        <v>DefinitionsB26</v>
      </c>
      <c r="B107" s="126" t="s">
        <v>645</v>
      </c>
      <c r="C107" s="126" t="s">
        <v>19349</v>
      </c>
      <c r="D107" s="126" t="s">
        <v>748</v>
      </c>
      <c r="E107" s="239" t="s">
        <v>749</v>
      </c>
      <c r="F107" s="240" t="s">
        <v>750</v>
      </c>
      <c r="G107" s="126" t="s">
        <v>751</v>
      </c>
      <c r="H107" s="275" t="s">
        <v>752</v>
      </c>
      <c r="I107" s="188" t="s">
        <v>18529</v>
      </c>
    </row>
    <row r="108" spans="1:9">
      <c r="A108" s="126" t="str">
        <f t="shared" si="7"/>
        <v>DefinitionsB27</v>
      </c>
      <c r="B108" s="126" t="s">
        <v>645</v>
      </c>
      <c r="C108" s="126" t="s">
        <v>19399</v>
      </c>
      <c r="D108" s="126" t="s">
        <v>754</v>
      </c>
      <c r="E108" s="239" t="s">
        <v>755</v>
      </c>
      <c r="F108" s="240" t="s">
        <v>756</v>
      </c>
      <c r="G108" s="126" t="s">
        <v>757</v>
      </c>
      <c r="H108" s="275" t="s">
        <v>758</v>
      </c>
      <c r="I108" s="188" t="s">
        <v>18530</v>
      </c>
    </row>
    <row r="109" spans="1:9" ht="41.4">
      <c r="A109" s="126" t="str">
        <f t="shared" si="7"/>
        <v>DefinitionsB28</v>
      </c>
      <c r="B109" s="126" t="s">
        <v>645</v>
      </c>
      <c r="C109" s="126" t="s">
        <v>19892</v>
      </c>
      <c r="D109" s="126" t="s">
        <v>19350</v>
      </c>
      <c r="E109" s="126" t="s">
        <v>19394</v>
      </c>
      <c r="F109" s="126" t="s">
        <v>19395</v>
      </c>
      <c r="G109" s="126" t="s">
        <v>19396</v>
      </c>
      <c r="H109" s="126" t="s">
        <v>19397</v>
      </c>
      <c r="I109" s="126" t="s">
        <v>19398</v>
      </c>
    </row>
    <row r="110" spans="1:9">
      <c r="A110" s="126" t="str">
        <f t="shared" si="7"/>
        <v>DefinitionsC2</v>
      </c>
      <c r="B110" s="126" t="s">
        <v>645</v>
      </c>
      <c r="C110" s="126" t="s">
        <v>759</v>
      </c>
      <c r="D110" s="126" t="s">
        <v>760</v>
      </c>
      <c r="E110" s="256" t="s">
        <v>761</v>
      </c>
      <c r="F110" s="240" t="s">
        <v>762</v>
      </c>
      <c r="G110" s="126" t="s">
        <v>763</v>
      </c>
      <c r="H110" s="275" t="s">
        <v>764</v>
      </c>
      <c r="I110" s="188" t="s">
        <v>18539</v>
      </c>
    </row>
    <row r="111" spans="1:9" ht="82.8">
      <c r="A111" s="126" t="str">
        <f t="shared" si="7"/>
        <v>DefinitionsC3</v>
      </c>
      <c r="B111" s="126" t="s">
        <v>645</v>
      </c>
      <c r="C111" s="126" t="s">
        <v>765</v>
      </c>
      <c r="D111" s="126" t="s">
        <v>766</v>
      </c>
      <c r="E111" s="239" t="s">
        <v>767</v>
      </c>
      <c r="F111" s="240" t="s">
        <v>768</v>
      </c>
      <c r="G111" s="126" t="s">
        <v>769</v>
      </c>
      <c r="H111" s="275" t="s">
        <v>770</v>
      </c>
      <c r="I111" s="126" t="s">
        <v>18540</v>
      </c>
    </row>
    <row r="112" spans="1:9" ht="55.2">
      <c r="A112" s="126" t="str">
        <f t="shared" si="7"/>
        <v>DefinitionsC4</v>
      </c>
      <c r="B112" s="126" t="s">
        <v>645</v>
      </c>
      <c r="C112" s="126" t="s">
        <v>771</v>
      </c>
      <c r="D112" s="126" t="s">
        <v>772</v>
      </c>
      <c r="E112" s="243" t="s">
        <v>773</v>
      </c>
      <c r="F112" s="240" t="s">
        <v>774</v>
      </c>
      <c r="G112" s="247" t="s">
        <v>775</v>
      </c>
      <c r="H112" s="275" t="s">
        <v>776</v>
      </c>
      <c r="I112" s="288" t="s">
        <v>18536</v>
      </c>
    </row>
    <row r="113" spans="1:9" ht="179.4">
      <c r="A113" s="126" t="str">
        <f t="shared" si="7"/>
        <v>DefinitionsC5</v>
      </c>
      <c r="B113" s="126" t="s">
        <v>645</v>
      </c>
      <c r="C113" s="126" t="s">
        <v>777</v>
      </c>
      <c r="D113" s="126" t="s">
        <v>778</v>
      </c>
      <c r="E113" s="239" t="s">
        <v>779</v>
      </c>
      <c r="F113" s="240" t="s">
        <v>780</v>
      </c>
      <c r="G113" s="126" t="s">
        <v>781</v>
      </c>
      <c r="H113" s="275" t="s">
        <v>782</v>
      </c>
      <c r="I113" s="126" t="s">
        <v>18541</v>
      </c>
    </row>
    <row r="114" spans="1:9" ht="110.4">
      <c r="A114" s="126" t="str">
        <f t="shared" si="7"/>
        <v>DefinitionsC6</v>
      </c>
      <c r="B114" s="126" t="s">
        <v>645</v>
      </c>
      <c r="C114" s="126" t="s">
        <v>783</v>
      </c>
      <c r="D114" s="126" t="s">
        <v>19345</v>
      </c>
      <c r="E114" s="239" t="s">
        <v>19377</v>
      </c>
      <c r="F114" s="240" t="s">
        <v>19930</v>
      </c>
      <c r="G114" s="126" t="s">
        <v>19378</v>
      </c>
      <c r="H114" s="275" t="s">
        <v>19379</v>
      </c>
      <c r="I114" s="126" t="s">
        <v>19380</v>
      </c>
    </row>
    <row r="115" spans="1:9" ht="151.80000000000001">
      <c r="A115" s="126" t="str">
        <f t="shared" si="7"/>
        <v>DefinitionsC7</v>
      </c>
      <c r="B115" s="126" t="s">
        <v>645</v>
      </c>
      <c r="C115" s="126" t="s">
        <v>789</v>
      </c>
      <c r="D115" s="126" t="s">
        <v>784</v>
      </c>
      <c r="E115" s="239" t="s">
        <v>785</v>
      </c>
      <c r="F115" s="240" t="s">
        <v>786</v>
      </c>
      <c r="G115" s="126" t="s">
        <v>787</v>
      </c>
      <c r="H115" s="275" t="s">
        <v>788</v>
      </c>
      <c r="I115" s="126" t="s">
        <v>18542</v>
      </c>
    </row>
    <row r="116" spans="1:9" ht="124.2">
      <c r="A116" s="126" t="str">
        <f t="shared" si="7"/>
        <v>DefinitionsC8</v>
      </c>
      <c r="B116" s="126" t="s">
        <v>645</v>
      </c>
      <c r="C116" s="126" t="s">
        <v>795</v>
      </c>
      <c r="D116" s="126" t="s">
        <v>790</v>
      </c>
      <c r="E116" s="239" t="s">
        <v>791</v>
      </c>
      <c r="F116" s="240" t="s">
        <v>792</v>
      </c>
      <c r="G116" s="126" t="s">
        <v>793</v>
      </c>
      <c r="H116" s="275" t="s">
        <v>794</v>
      </c>
      <c r="I116" s="126" t="s">
        <v>18545</v>
      </c>
    </row>
    <row r="117" spans="1:9" ht="110.4">
      <c r="A117" s="126" t="str">
        <f t="shared" si="7"/>
        <v>DefinitionsC9</v>
      </c>
      <c r="B117" s="126" t="s">
        <v>645</v>
      </c>
      <c r="C117" s="126" t="s">
        <v>801</v>
      </c>
      <c r="D117" s="346" t="s">
        <v>19348</v>
      </c>
      <c r="E117" s="243" t="s">
        <v>19389</v>
      </c>
      <c r="F117" s="373" t="s">
        <v>19390</v>
      </c>
      <c r="G117" s="374" t="s">
        <v>19391</v>
      </c>
      <c r="H117" s="275" t="s">
        <v>19392</v>
      </c>
      <c r="I117" s="126" t="s">
        <v>19393</v>
      </c>
    </row>
    <row r="118" spans="1:9" ht="96.6">
      <c r="A118" s="126" t="str">
        <f t="shared" si="7"/>
        <v>DefinitionsC10</v>
      </c>
      <c r="B118" s="126" t="s">
        <v>645</v>
      </c>
      <c r="C118" s="126" t="s">
        <v>802</v>
      </c>
      <c r="D118" s="346" t="s">
        <v>19401</v>
      </c>
      <c r="E118" s="346" t="s">
        <v>19402</v>
      </c>
      <c r="F118" s="382" t="s">
        <v>19932</v>
      </c>
      <c r="G118" s="375" t="s">
        <v>19403</v>
      </c>
      <c r="H118" s="346" t="s">
        <v>19404</v>
      </c>
      <c r="I118" s="346" t="s">
        <v>19405</v>
      </c>
    </row>
    <row r="119" spans="1:9" ht="124.2">
      <c r="A119" s="126" t="str">
        <f t="shared" si="7"/>
        <v>DefinitionsC11</v>
      </c>
      <c r="B119" s="126" t="s">
        <v>645</v>
      </c>
      <c r="C119" s="126" t="s">
        <v>808</v>
      </c>
      <c r="D119" s="126" t="s">
        <v>796</v>
      </c>
      <c r="E119" s="239" t="s">
        <v>797</v>
      </c>
      <c r="F119" s="240" t="s">
        <v>798</v>
      </c>
      <c r="G119" s="126" t="s">
        <v>799</v>
      </c>
      <c r="H119" s="275" t="s">
        <v>800</v>
      </c>
      <c r="I119" s="126" t="s">
        <v>18544</v>
      </c>
    </row>
    <row r="120" spans="1:9" ht="55.2">
      <c r="A120" s="126" t="str">
        <f t="shared" si="7"/>
        <v>DefinitionsC12</v>
      </c>
      <c r="B120" s="126" t="s">
        <v>645</v>
      </c>
      <c r="C120" s="126" t="s">
        <v>814</v>
      </c>
      <c r="D120" s="126" t="s">
        <v>19933</v>
      </c>
      <c r="E120" s="239" t="s">
        <v>19986</v>
      </c>
      <c r="F120" s="252" t="s">
        <v>19991</v>
      </c>
      <c r="G120" s="126" t="s">
        <v>19987</v>
      </c>
      <c r="H120" s="275" t="s">
        <v>19988</v>
      </c>
      <c r="I120" s="126" t="s">
        <v>19989</v>
      </c>
    </row>
    <row r="121" spans="1:9" ht="138">
      <c r="A121" s="126" t="str">
        <f t="shared" si="7"/>
        <v>DefinitionsC13</v>
      </c>
      <c r="B121" s="126" t="s">
        <v>645</v>
      </c>
      <c r="C121" s="126" t="s">
        <v>820</v>
      </c>
      <c r="D121" s="126" t="s">
        <v>19346</v>
      </c>
      <c r="E121" s="239" t="s">
        <v>19381</v>
      </c>
      <c r="F121" s="240" t="s">
        <v>19931</v>
      </c>
      <c r="G121" s="126" t="s">
        <v>19382</v>
      </c>
      <c r="H121" s="275" t="s">
        <v>19383</v>
      </c>
      <c r="I121" s="126" t="s">
        <v>19384</v>
      </c>
    </row>
    <row r="122" spans="1:9" ht="207">
      <c r="A122" s="126" t="str">
        <f t="shared" si="7"/>
        <v>DefinitionsC14</v>
      </c>
      <c r="B122" s="126" t="s">
        <v>645</v>
      </c>
      <c r="C122" s="126" t="s">
        <v>821</v>
      </c>
      <c r="D122" s="126" t="s">
        <v>803</v>
      </c>
      <c r="E122" s="239" t="s">
        <v>804</v>
      </c>
      <c r="F122" s="240" t="s">
        <v>805</v>
      </c>
      <c r="G122" s="126" t="s">
        <v>806</v>
      </c>
      <c r="H122" s="275" t="s">
        <v>807</v>
      </c>
      <c r="I122" s="126" t="s">
        <v>18546</v>
      </c>
    </row>
    <row r="123" spans="1:9" ht="41.4" customHeight="1">
      <c r="A123" s="126" t="str">
        <f t="shared" si="7"/>
        <v>DefinitionsC15</v>
      </c>
      <c r="B123" s="126" t="s">
        <v>645</v>
      </c>
      <c r="C123" s="126" t="s">
        <v>827</v>
      </c>
      <c r="D123" s="245" t="s">
        <v>809</v>
      </c>
      <c r="E123" s="246" t="s">
        <v>810</v>
      </c>
      <c r="F123" s="252" t="s">
        <v>811</v>
      </c>
      <c r="G123" s="254" t="s">
        <v>812</v>
      </c>
      <c r="H123" s="281" t="s">
        <v>813</v>
      </c>
      <c r="I123" s="126" t="s">
        <v>18537</v>
      </c>
    </row>
    <row r="124" spans="1:9" ht="41.4" customHeight="1">
      <c r="A124" s="126" t="str">
        <f t="shared" si="7"/>
        <v>DefinitionsC16</v>
      </c>
      <c r="B124" s="126" t="s">
        <v>645</v>
      </c>
      <c r="C124" s="126" t="s">
        <v>828</v>
      </c>
      <c r="D124" s="245" t="s">
        <v>815</v>
      </c>
      <c r="E124" s="246" t="s">
        <v>816</v>
      </c>
      <c r="F124" s="252" t="s">
        <v>817</v>
      </c>
      <c r="G124" s="255" t="s">
        <v>818</v>
      </c>
      <c r="H124" s="275" t="s">
        <v>819</v>
      </c>
      <c r="I124" s="126" t="s">
        <v>18538</v>
      </c>
    </row>
    <row r="125" spans="1:9" ht="138">
      <c r="A125" s="126" t="str">
        <f t="shared" si="7"/>
        <v>DefinitionsC17</v>
      </c>
      <c r="B125" s="126" t="s">
        <v>645</v>
      </c>
      <c r="C125" s="126" t="s">
        <v>834</v>
      </c>
      <c r="D125" s="245" t="s">
        <v>19893</v>
      </c>
      <c r="E125" s="246" t="s">
        <v>19894</v>
      </c>
      <c r="F125" s="252" t="s">
        <v>19895</v>
      </c>
      <c r="G125" s="255" t="s">
        <v>19896</v>
      </c>
      <c r="H125" s="275" t="s">
        <v>19897</v>
      </c>
      <c r="I125" s="126" t="s">
        <v>19898</v>
      </c>
    </row>
    <row r="126" spans="1:9" ht="110.4">
      <c r="A126" s="126" t="str">
        <f t="shared" si="7"/>
        <v>DefinitionsC18</v>
      </c>
      <c r="B126" s="126" t="s">
        <v>645</v>
      </c>
      <c r="C126" s="126" t="s">
        <v>835</v>
      </c>
      <c r="D126" s="346" t="s">
        <v>19347</v>
      </c>
      <c r="E126" s="243" t="s">
        <v>19385</v>
      </c>
      <c r="F126" s="373" t="s">
        <v>19934</v>
      </c>
      <c r="G126" s="374" t="s">
        <v>19386</v>
      </c>
      <c r="H126" s="275" t="s">
        <v>19387</v>
      </c>
      <c r="I126" s="126" t="s">
        <v>19388</v>
      </c>
    </row>
    <row r="127" spans="1:9" ht="179.4">
      <c r="A127" s="126" t="str">
        <f t="shared" si="7"/>
        <v>DefinitionsC19</v>
      </c>
      <c r="B127" s="126" t="s">
        <v>645</v>
      </c>
      <c r="C127" s="126" t="s">
        <v>841</v>
      </c>
      <c r="D127" s="126" t="s">
        <v>19352</v>
      </c>
      <c r="E127" s="243" t="s">
        <v>19353</v>
      </c>
      <c r="F127" s="373" t="s">
        <v>19354</v>
      </c>
      <c r="G127" s="374" t="s">
        <v>19355</v>
      </c>
      <c r="H127" s="275" t="s">
        <v>19356</v>
      </c>
      <c r="I127" s="126" t="s">
        <v>19357</v>
      </c>
    </row>
    <row r="128" spans="1:9" ht="69">
      <c r="A128" s="126" t="str">
        <f t="shared" si="7"/>
        <v>DefinitionsC20</v>
      </c>
      <c r="B128" s="126" t="s">
        <v>645</v>
      </c>
      <c r="C128" s="126" t="s">
        <v>847</v>
      </c>
      <c r="D128" s="126" t="s">
        <v>822</v>
      </c>
      <c r="E128" s="239" t="s">
        <v>823</v>
      </c>
      <c r="F128" s="240" t="s">
        <v>824</v>
      </c>
      <c r="G128" s="126" t="s">
        <v>825</v>
      </c>
      <c r="H128" s="275" t="s">
        <v>826</v>
      </c>
      <c r="I128" s="126" t="s">
        <v>18547</v>
      </c>
    </row>
    <row r="129" spans="1:9" ht="163.5" customHeight="1">
      <c r="A129" s="126" t="str">
        <f t="shared" si="7"/>
        <v>DefinitionsC21</v>
      </c>
      <c r="B129" s="126" t="s">
        <v>645</v>
      </c>
      <c r="C129" s="126" t="s">
        <v>853</v>
      </c>
      <c r="D129" s="126" t="s">
        <v>19351</v>
      </c>
      <c r="E129" s="243" t="s">
        <v>20137</v>
      </c>
      <c r="F129" s="240" t="s">
        <v>20136</v>
      </c>
      <c r="G129" s="241" t="s">
        <v>20138</v>
      </c>
      <c r="H129" s="275" t="s">
        <v>20139</v>
      </c>
      <c r="I129" s="126" t="s">
        <v>20140</v>
      </c>
    </row>
    <row r="130" spans="1:9" ht="69">
      <c r="A130" s="126" t="str">
        <f t="shared" si="7"/>
        <v>DefinitionsC22</v>
      </c>
      <c r="B130" s="126" t="s">
        <v>645</v>
      </c>
      <c r="C130" s="126" t="s">
        <v>19341</v>
      </c>
      <c r="D130" s="126" t="s">
        <v>829</v>
      </c>
      <c r="E130" s="239" t="s">
        <v>830</v>
      </c>
      <c r="F130" s="240" t="s">
        <v>831</v>
      </c>
      <c r="G130" s="126" t="s">
        <v>832</v>
      </c>
      <c r="H130" s="275" t="s">
        <v>833</v>
      </c>
      <c r="I130" s="126" t="s">
        <v>18548</v>
      </c>
    </row>
    <row r="131" spans="1:9" ht="96.6">
      <c r="A131" s="126" t="str">
        <f>B131&amp;C131</f>
        <v>DefinitionsC23</v>
      </c>
      <c r="B131" s="126" t="s">
        <v>645</v>
      </c>
      <c r="C131" s="126" t="s">
        <v>19342</v>
      </c>
      <c r="D131" s="126" t="s">
        <v>19995</v>
      </c>
      <c r="E131" s="239" t="s">
        <v>19996</v>
      </c>
      <c r="F131" s="240" t="s">
        <v>19997</v>
      </c>
      <c r="G131" s="126" t="s">
        <v>19998</v>
      </c>
      <c r="H131" s="275" t="s">
        <v>19999</v>
      </c>
      <c r="I131" s="126" t="s">
        <v>18549</v>
      </c>
    </row>
    <row r="132" spans="1:9" ht="262.2">
      <c r="A132" s="126" t="str">
        <f t="shared" si="7"/>
        <v>DefinitionsC24</v>
      </c>
      <c r="B132" s="126" t="s">
        <v>645</v>
      </c>
      <c r="C132" s="126" t="s">
        <v>19343</v>
      </c>
      <c r="D132" s="126" t="s">
        <v>836</v>
      </c>
      <c r="E132" s="239" t="s">
        <v>837</v>
      </c>
      <c r="F132" s="240" t="s">
        <v>838</v>
      </c>
      <c r="G132" s="126" t="s">
        <v>839</v>
      </c>
      <c r="H132" s="275" t="s">
        <v>840</v>
      </c>
      <c r="I132" s="126" t="s">
        <v>18550</v>
      </c>
    </row>
    <row r="133" spans="1:9" ht="220.8">
      <c r="A133" s="126" t="str">
        <f t="shared" si="7"/>
        <v>DefinitionsC25</v>
      </c>
      <c r="B133" s="126" t="s">
        <v>645</v>
      </c>
      <c r="C133" s="126" t="s">
        <v>19344</v>
      </c>
      <c r="D133" s="126" t="s">
        <v>842</v>
      </c>
      <c r="E133" s="239" t="s">
        <v>843</v>
      </c>
      <c r="F133" s="240" t="s">
        <v>844</v>
      </c>
      <c r="G133" s="247" t="s">
        <v>845</v>
      </c>
      <c r="H133" s="275" t="s">
        <v>846</v>
      </c>
      <c r="I133" s="126" t="s">
        <v>18551</v>
      </c>
    </row>
    <row r="134" spans="1:9" ht="124.2">
      <c r="A134" s="126" t="str">
        <f t="shared" si="7"/>
        <v>DefinitionsC26</v>
      </c>
      <c r="B134" s="126" t="s">
        <v>645</v>
      </c>
      <c r="C134" s="126" t="s">
        <v>19406</v>
      </c>
      <c r="D134" s="245" t="s">
        <v>848</v>
      </c>
      <c r="E134" s="246" t="s">
        <v>849</v>
      </c>
      <c r="F134" s="253" t="s">
        <v>850</v>
      </c>
      <c r="G134" s="254" t="s">
        <v>851</v>
      </c>
      <c r="H134" s="275" t="s">
        <v>852</v>
      </c>
      <c r="I134" s="126" t="s">
        <v>18552</v>
      </c>
    </row>
    <row r="135" spans="1:9" ht="82.8">
      <c r="A135" s="126" t="str">
        <f t="shared" si="7"/>
        <v>DefinitionsC27</v>
      </c>
      <c r="B135" s="126" t="s">
        <v>645</v>
      </c>
      <c r="C135" s="126" t="s">
        <v>19901</v>
      </c>
      <c r="D135" s="126" t="s">
        <v>854</v>
      </c>
      <c r="E135" s="239" t="s">
        <v>855</v>
      </c>
      <c r="F135" s="240" t="s">
        <v>856</v>
      </c>
      <c r="G135" s="126" t="s">
        <v>857</v>
      </c>
      <c r="H135" s="275" t="s">
        <v>858</v>
      </c>
      <c r="I135" s="126" t="s">
        <v>18553</v>
      </c>
    </row>
    <row r="136" spans="1:9" ht="27.6">
      <c r="A136" s="126" t="str">
        <f t="shared" si="7"/>
        <v>DeclarationD2</v>
      </c>
      <c r="B136" s="126" t="s">
        <v>859</v>
      </c>
      <c r="C136" s="126" t="s">
        <v>860</v>
      </c>
      <c r="D136" s="245" t="s">
        <v>20141</v>
      </c>
      <c r="E136" s="245" t="s">
        <v>861</v>
      </c>
      <c r="F136" s="252" t="s">
        <v>862</v>
      </c>
      <c r="G136" s="257" t="s">
        <v>863</v>
      </c>
      <c r="H136" s="275" t="s">
        <v>864</v>
      </c>
      <c r="I136" s="188" t="s">
        <v>18555</v>
      </c>
    </row>
    <row r="137" spans="1:9" ht="27.6">
      <c r="A137" s="126" t="str">
        <f t="shared" si="7"/>
        <v>DeclarationF3</v>
      </c>
      <c r="B137" s="126" t="s">
        <v>859</v>
      </c>
      <c r="C137" s="126" t="s">
        <v>865</v>
      </c>
      <c r="D137" s="126" t="s">
        <v>866</v>
      </c>
      <c r="E137" s="239" t="s">
        <v>867</v>
      </c>
      <c r="F137" s="240" t="s">
        <v>868</v>
      </c>
      <c r="G137" s="126" t="s">
        <v>869</v>
      </c>
      <c r="H137" s="275" t="s">
        <v>870</v>
      </c>
      <c r="I137" s="126" t="s">
        <v>18556</v>
      </c>
    </row>
    <row r="138" spans="1:9">
      <c r="A138" s="126" t="str">
        <f t="shared" si="7"/>
        <v>DeclarationI3</v>
      </c>
      <c r="B138" s="126" t="s">
        <v>859</v>
      </c>
      <c r="C138" s="126" t="s">
        <v>871</v>
      </c>
      <c r="D138" s="126" t="s">
        <v>872</v>
      </c>
      <c r="E138" s="239" t="s">
        <v>873</v>
      </c>
      <c r="F138" s="240" t="s">
        <v>874</v>
      </c>
      <c r="G138" s="126" t="s">
        <v>875</v>
      </c>
      <c r="H138" s="275" t="s">
        <v>876</v>
      </c>
      <c r="I138" s="126" t="s">
        <v>18557</v>
      </c>
    </row>
    <row r="139" spans="1:9">
      <c r="A139" s="126" t="str">
        <f t="shared" si="7"/>
        <v>DeclarationI4</v>
      </c>
      <c r="B139" s="126" t="s">
        <v>859</v>
      </c>
      <c r="C139" s="126" t="s">
        <v>877</v>
      </c>
      <c r="D139" s="126" t="s">
        <v>878</v>
      </c>
      <c r="E139" s="239" t="s">
        <v>879</v>
      </c>
      <c r="F139" s="240" t="s">
        <v>880</v>
      </c>
      <c r="G139" s="126" t="s">
        <v>881</v>
      </c>
      <c r="H139" s="275" t="s">
        <v>882</v>
      </c>
      <c r="I139" s="126" t="s">
        <v>18558</v>
      </c>
    </row>
    <row r="140" spans="1:9" ht="43.5" customHeight="1">
      <c r="A140" s="126" t="str">
        <f t="shared" si="7"/>
        <v>DeclarationB4</v>
      </c>
      <c r="B140" s="126" t="s">
        <v>859</v>
      </c>
      <c r="C140" s="126" t="s">
        <v>657</v>
      </c>
      <c r="D140" s="126" t="s">
        <v>18675</v>
      </c>
      <c r="E140" s="239" t="s">
        <v>883</v>
      </c>
      <c r="F140" s="240" t="s">
        <v>19935</v>
      </c>
      <c r="G140" s="126" t="s">
        <v>884</v>
      </c>
      <c r="H140" s="275" t="s">
        <v>885</v>
      </c>
      <c r="I140" s="126" t="s">
        <v>18584</v>
      </c>
    </row>
    <row r="141" spans="1:9" ht="41.4">
      <c r="A141" s="126" t="str">
        <f t="shared" si="7"/>
        <v>DeclarationB6</v>
      </c>
      <c r="B141" s="126" t="s">
        <v>859</v>
      </c>
      <c r="C141" s="126" t="s">
        <v>669</v>
      </c>
      <c r="D141" s="126" t="s">
        <v>886</v>
      </c>
      <c r="E141" s="258" t="s">
        <v>887</v>
      </c>
      <c r="F141" s="270" t="s">
        <v>888</v>
      </c>
      <c r="G141" s="126" t="s">
        <v>889</v>
      </c>
      <c r="H141" s="275" t="s">
        <v>890</v>
      </c>
      <c r="I141" s="289" t="s">
        <v>18559</v>
      </c>
    </row>
    <row r="142" spans="1:9">
      <c r="A142" s="126" t="str">
        <f t="shared" si="7"/>
        <v>DeclarationB7</v>
      </c>
      <c r="B142" s="126" t="s">
        <v>859</v>
      </c>
      <c r="C142" s="126" t="s">
        <v>675</v>
      </c>
      <c r="D142" s="126" t="s">
        <v>891</v>
      </c>
      <c r="E142" s="239" t="s">
        <v>892</v>
      </c>
      <c r="F142" s="240" t="s">
        <v>893</v>
      </c>
      <c r="G142" s="126" t="s">
        <v>894</v>
      </c>
      <c r="H142" s="275" t="s">
        <v>895</v>
      </c>
      <c r="I142" s="126" t="s">
        <v>18560</v>
      </c>
    </row>
    <row r="143" spans="1:9" ht="15.6">
      <c r="A143" s="126" t="str">
        <f t="shared" si="7"/>
        <v>DeclarationB8</v>
      </c>
      <c r="B143" s="126" t="s">
        <v>859</v>
      </c>
      <c r="C143" s="126" t="s">
        <v>681</v>
      </c>
      <c r="D143" s="126" t="s">
        <v>896</v>
      </c>
      <c r="E143" s="239" t="s">
        <v>897</v>
      </c>
      <c r="F143" s="240" t="s">
        <v>898</v>
      </c>
      <c r="G143" s="126" t="s">
        <v>899</v>
      </c>
      <c r="H143" s="275" t="s">
        <v>900</v>
      </c>
      <c r="I143" s="126" t="s">
        <v>18561</v>
      </c>
    </row>
    <row r="144" spans="1:9" ht="15.6">
      <c r="A144" s="126" t="str">
        <f t="shared" si="7"/>
        <v>DeclarationB9</v>
      </c>
      <c r="B144" s="126" t="s">
        <v>859</v>
      </c>
      <c r="C144" s="126" t="s">
        <v>687</v>
      </c>
      <c r="D144" s="126" t="s">
        <v>901</v>
      </c>
      <c r="E144" s="239" t="s">
        <v>902</v>
      </c>
      <c r="F144" s="240" t="s">
        <v>903</v>
      </c>
      <c r="G144" s="126" t="s">
        <v>904</v>
      </c>
      <c r="H144" s="275" t="s">
        <v>905</v>
      </c>
      <c r="I144" s="126" t="s">
        <v>18562</v>
      </c>
    </row>
    <row r="145" spans="1:9">
      <c r="A145" s="126" t="str">
        <f t="shared" si="7"/>
        <v>DeclarationB10</v>
      </c>
      <c r="B145" s="126" t="s">
        <v>859</v>
      </c>
      <c r="C145" s="126" t="s">
        <v>692</v>
      </c>
      <c r="D145" s="126" t="s">
        <v>906</v>
      </c>
      <c r="E145" s="239" t="s">
        <v>907</v>
      </c>
      <c r="F145" s="240" t="s">
        <v>908</v>
      </c>
      <c r="G145" s="126" t="s">
        <v>909</v>
      </c>
      <c r="H145" s="275" t="s">
        <v>910</v>
      </c>
      <c r="I145" s="126" t="s">
        <v>18563</v>
      </c>
    </row>
    <row r="146" spans="1:9">
      <c r="A146" s="126" t="str">
        <f t="shared" si="7"/>
        <v>DeclarationB10A</v>
      </c>
      <c r="B146" s="126" t="s">
        <v>859</v>
      </c>
      <c r="C146" s="126" t="s">
        <v>911</v>
      </c>
      <c r="D146" s="126" t="s">
        <v>906</v>
      </c>
      <c r="E146" s="239" t="s">
        <v>907</v>
      </c>
      <c r="F146" s="240" t="s">
        <v>912</v>
      </c>
      <c r="G146" s="126" t="s">
        <v>909</v>
      </c>
      <c r="H146" s="275" t="s">
        <v>910</v>
      </c>
      <c r="I146" s="126" t="s">
        <v>18563</v>
      </c>
    </row>
    <row r="147" spans="1:9">
      <c r="A147" s="126" t="str">
        <f t="shared" si="7"/>
        <v>DeclarationB10C</v>
      </c>
      <c r="B147" s="126" t="s">
        <v>859</v>
      </c>
      <c r="C147" s="126" t="s">
        <v>913</v>
      </c>
      <c r="D147" s="126" t="s">
        <v>914</v>
      </c>
      <c r="E147" s="239" t="s">
        <v>915</v>
      </c>
      <c r="F147" s="240" t="s">
        <v>916</v>
      </c>
      <c r="G147" s="126" t="s">
        <v>917</v>
      </c>
      <c r="H147" s="275" t="s">
        <v>918</v>
      </c>
      <c r="I147" s="126" t="s">
        <v>18564</v>
      </c>
    </row>
    <row r="148" spans="1:9" ht="27.6">
      <c r="A148" s="126" t="str">
        <f t="shared" si="7"/>
        <v>DeclarationB10B</v>
      </c>
      <c r="B148" s="126" t="s">
        <v>859</v>
      </c>
      <c r="C148" s="126" t="s">
        <v>919</v>
      </c>
      <c r="D148" s="126" t="s">
        <v>920</v>
      </c>
      <c r="E148" s="239" t="s">
        <v>921</v>
      </c>
      <c r="F148" s="240" t="s">
        <v>922</v>
      </c>
      <c r="G148" s="126" t="s">
        <v>923</v>
      </c>
      <c r="H148" s="275" t="s">
        <v>924</v>
      </c>
      <c r="I148" s="126" t="s">
        <v>18565</v>
      </c>
    </row>
    <row r="149" spans="1:9" ht="27.6">
      <c r="A149" s="126" t="str">
        <f t="shared" si="7"/>
        <v>DeclarationD11</v>
      </c>
      <c r="B149" s="126" t="s">
        <v>859</v>
      </c>
      <c r="C149" s="126" t="s">
        <v>925</v>
      </c>
      <c r="D149" s="126" t="s">
        <v>926</v>
      </c>
      <c r="E149" s="239" t="s">
        <v>927</v>
      </c>
      <c r="F149" s="240" t="s">
        <v>928</v>
      </c>
      <c r="G149" s="126" t="s">
        <v>929</v>
      </c>
      <c r="H149" s="275" t="s">
        <v>930</v>
      </c>
      <c r="I149" s="126" t="s">
        <v>18566</v>
      </c>
    </row>
    <row r="150" spans="1:9" ht="41.4">
      <c r="A150" s="126" t="str">
        <f t="shared" si="7"/>
        <v>DeclarationB12</v>
      </c>
      <c r="B150" s="126" t="s">
        <v>859</v>
      </c>
      <c r="C150" s="126" t="s">
        <v>18656</v>
      </c>
      <c r="D150" s="245" t="s">
        <v>18655</v>
      </c>
      <c r="E150" s="246" t="s">
        <v>19937</v>
      </c>
      <c r="F150" s="252" t="s">
        <v>19936</v>
      </c>
      <c r="G150" s="245" t="s">
        <v>19938</v>
      </c>
      <c r="H150" s="279" t="s">
        <v>19939</v>
      </c>
      <c r="I150" s="245" t="s">
        <v>19940</v>
      </c>
    </row>
    <row r="151" spans="1:9" ht="55.2">
      <c r="A151" s="126" t="str">
        <f t="shared" ref="A151" si="10">B151&amp;C151</f>
        <v>DeclarationB13</v>
      </c>
      <c r="B151" s="126" t="s">
        <v>859</v>
      </c>
      <c r="C151" s="126" t="s">
        <v>20007</v>
      </c>
      <c r="D151" s="245" t="s">
        <v>20009</v>
      </c>
      <c r="E151" s="252" t="s">
        <v>20145</v>
      </c>
      <c r="F151" s="252" t="s">
        <v>20142</v>
      </c>
      <c r="G151" s="253" t="s">
        <v>20144</v>
      </c>
      <c r="H151" s="279" t="s">
        <v>20143</v>
      </c>
      <c r="I151" s="245" t="s">
        <v>20160</v>
      </c>
    </row>
    <row r="152" spans="1:9">
      <c r="A152" s="126" t="str">
        <f t="shared" ref="A152:A215" si="11">B152&amp;C152</f>
        <v>DeclarationB14</v>
      </c>
      <c r="B152" s="126" t="s">
        <v>859</v>
      </c>
      <c r="C152" s="126" t="s">
        <v>18657</v>
      </c>
      <c r="H152" s="275"/>
      <c r="I152" s="126"/>
    </row>
    <row r="153" spans="1:9">
      <c r="A153" s="126" t="str">
        <f t="shared" si="11"/>
        <v>DeclarationB16</v>
      </c>
      <c r="B153" s="126" t="s">
        <v>859</v>
      </c>
      <c r="C153" s="126" t="s">
        <v>18643</v>
      </c>
      <c r="D153" s="126" t="s">
        <v>931</v>
      </c>
      <c r="E153" s="239" t="s">
        <v>932</v>
      </c>
      <c r="F153" s="240" t="s">
        <v>933</v>
      </c>
      <c r="G153" s="126" t="s">
        <v>934</v>
      </c>
      <c r="H153" s="275" t="s">
        <v>935</v>
      </c>
      <c r="I153" s="126" t="s">
        <v>18567</v>
      </c>
    </row>
    <row r="154" spans="1:9">
      <c r="A154" s="126" t="str">
        <f t="shared" si="11"/>
        <v>DeclarationB17</v>
      </c>
      <c r="B154" s="126" t="s">
        <v>859</v>
      </c>
      <c r="C154" s="126" t="s">
        <v>18644</v>
      </c>
      <c r="D154" s="126" t="s">
        <v>936</v>
      </c>
      <c r="E154" s="239" t="s">
        <v>937</v>
      </c>
      <c r="F154" s="240" t="s">
        <v>938</v>
      </c>
      <c r="G154" s="126" t="s">
        <v>939</v>
      </c>
      <c r="H154" s="275" t="s">
        <v>940</v>
      </c>
      <c r="I154" s="126" t="s">
        <v>18568</v>
      </c>
    </row>
    <row r="155" spans="1:9">
      <c r="A155" s="126" t="str">
        <f t="shared" si="11"/>
        <v>DeclarationB18</v>
      </c>
      <c r="B155" s="126" t="s">
        <v>859</v>
      </c>
      <c r="C155" s="126" t="s">
        <v>18645</v>
      </c>
      <c r="D155" s="126" t="s">
        <v>941</v>
      </c>
      <c r="E155" s="239" t="s">
        <v>942</v>
      </c>
      <c r="F155" s="240" t="s">
        <v>943</v>
      </c>
      <c r="G155" s="126" t="s">
        <v>944</v>
      </c>
      <c r="H155" s="275" t="s">
        <v>945</v>
      </c>
      <c r="I155" s="126" t="s">
        <v>18569</v>
      </c>
    </row>
    <row r="156" spans="1:9">
      <c r="A156" s="126" t="str">
        <f t="shared" si="11"/>
        <v>DeclarationB19</v>
      </c>
      <c r="B156" s="126" t="s">
        <v>859</v>
      </c>
      <c r="C156" s="126" t="s">
        <v>18646</v>
      </c>
      <c r="D156" s="126" t="s">
        <v>946</v>
      </c>
      <c r="E156" s="239" t="s">
        <v>947</v>
      </c>
      <c r="F156" s="240" t="s">
        <v>948</v>
      </c>
      <c r="G156" s="126" t="s">
        <v>949</v>
      </c>
      <c r="H156" s="275" t="s">
        <v>950</v>
      </c>
      <c r="I156" s="126" t="s">
        <v>18570</v>
      </c>
    </row>
    <row r="157" spans="1:9">
      <c r="A157" s="126" t="str">
        <f t="shared" si="11"/>
        <v>DeclarationB20</v>
      </c>
      <c r="B157" s="126" t="s">
        <v>859</v>
      </c>
      <c r="C157" s="126" t="s">
        <v>18647</v>
      </c>
      <c r="D157" s="126" t="s">
        <v>951</v>
      </c>
      <c r="E157" s="239" t="s">
        <v>952</v>
      </c>
      <c r="F157" s="240" t="s">
        <v>953</v>
      </c>
      <c r="G157" s="126" t="s">
        <v>954</v>
      </c>
      <c r="H157" s="275" t="s">
        <v>955</v>
      </c>
      <c r="I157" s="126" t="s">
        <v>18571</v>
      </c>
    </row>
    <row r="158" spans="1:9">
      <c r="A158" s="126" t="str">
        <f t="shared" si="11"/>
        <v>DeclarationB21</v>
      </c>
      <c r="B158" s="126" t="s">
        <v>859</v>
      </c>
      <c r="C158" s="126" t="s">
        <v>18648</v>
      </c>
      <c r="D158" s="126" t="s">
        <v>956</v>
      </c>
      <c r="E158" s="239" t="s">
        <v>957</v>
      </c>
      <c r="F158" s="240" t="s">
        <v>958</v>
      </c>
      <c r="G158" s="126" t="s">
        <v>959</v>
      </c>
      <c r="H158" s="275" t="s">
        <v>960</v>
      </c>
      <c r="I158" s="126" t="s">
        <v>18572</v>
      </c>
    </row>
    <row r="159" spans="1:9">
      <c r="A159" s="126" t="str">
        <f t="shared" si="11"/>
        <v>DeclarationB22</v>
      </c>
      <c r="B159" s="126" t="s">
        <v>859</v>
      </c>
      <c r="C159" s="126" t="s">
        <v>18649</v>
      </c>
      <c r="D159" s="126" t="s">
        <v>961</v>
      </c>
      <c r="E159" s="239" t="s">
        <v>962</v>
      </c>
      <c r="F159" s="240" t="s">
        <v>963</v>
      </c>
      <c r="G159" s="126" t="s">
        <v>964</v>
      </c>
      <c r="H159" s="275" t="s">
        <v>965</v>
      </c>
      <c r="I159" s="126" t="s">
        <v>18573</v>
      </c>
    </row>
    <row r="160" spans="1:9">
      <c r="A160" s="126" t="str">
        <f t="shared" si="11"/>
        <v>DeclarationB23</v>
      </c>
      <c r="B160" s="126" t="s">
        <v>859</v>
      </c>
      <c r="C160" s="126" t="s">
        <v>18650</v>
      </c>
      <c r="D160" s="126" t="s">
        <v>966</v>
      </c>
      <c r="E160" s="239" t="s">
        <v>967</v>
      </c>
      <c r="F160" s="240" t="s">
        <v>968</v>
      </c>
      <c r="G160" s="126" t="s">
        <v>969</v>
      </c>
      <c r="H160" s="275" t="s">
        <v>970</v>
      </c>
      <c r="I160" s="126" t="s">
        <v>18574</v>
      </c>
    </row>
    <row r="161" spans="1:9">
      <c r="A161" s="126" t="str">
        <f t="shared" si="11"/>
        <v>DeclarationB24</v>
      </c>
      <c r="B161" s="126" t="s">
        <v>859</v>
      </c>
      <c r="C161" s="126" t="s">
        <v>18651</v>
      </c>
      <c r="D161" s="126" t="s">
        <v>971</v>
      </c>
      <c r="E161" s="239" t="s">
        <v>972</v>
      </c>
      <c r="F161" s="240" t="s">
        <v>973</v>
      </c>
      <c r="G161" s="126" t="s">
        <v>974</v>
      </c>
      <c r="H161" s="275" t="s">
        <v>975</v>
      </c>
      <c r="I161" s="126" t="s">
        <v>18575</v>
      </c>
    </row>
    <row r="162" spans="1:9">
      <c r="A162" s="126" t="str">
        <f t="shared" si="11"/>
        <v>DeclarationB25</v>
      </c>
      <c r="B162" s="126" t="s">
        <v>859</v>
      </c>
      <c r="C162" s="126" t="s">
        <v>18652</v>
      </c>
      <c r="D162" s="126" t="s">
        <v>976</v>
      </c>
      <c r="E162" s="239" t="s">
        <v>977</v>
      </c>
      <c r="F162" s="240" t="s">
        <v>978</v>
      </c>
      <c r="G162" s="126" t="s">
        <v>979</v>
      </c>
      <c r="H162" s="275" t="s">
        <v>980</v>
      </c>
      <c r="I162" s="126" t="s">
        <v>18576</v>
      </c>
    </row>
    <row r="163" spans="1:9">
      <c r="A163" s="126" t="str">
        <f t="shared" si="11"/>
        <v>DeclarationB26</v>
      </c>
      <c r="B163" s="126" t="s">
        <v>859</v>
      </c>
      <c r="C163" s="126" t="s">
        <v>18653</v>
      </c>
      <c r="D163" s="126" t="s">
        <v>981</v>
      </c>
      <c r="E163" s="239" t="s">
        <v>982</v>
      </c>
      <c r="F163" s="240" t="s">
        <v>983</v>
      </c>
      <c r="G163" s="126" t="s">
        <v>984</v>
      </c>
      <c r="H163" s="275" t="s">
        <v>985</v>
      </c>
      <c r="I163" s="126" t="s">
        <v>18577</v>
      </c>
    </row>
    <row r="164" spans="1:9" ht="27.6">
      <c r="A164" s="126" t="str">
        <f t="shared" si="11"/>
        <v>DeclarationB28</v>
      </c>
      <c r="B164" s="126" t="s">
        <v>859</v>
      </c>
      <c r="C164" s="126" t="s">
        <v>18654</v>
      </c>
      <c r="D164" s="126" t="s">
        <v>986</v>
      </c>
      <c r="E164" s="239" t="s">
        <v>987</v>
      </c>
      <c r="F164" s="240" t="s">
        <v>988</v>
      </c>
      <c r="G164" s="126" t="s">
        <v>989</v>
      </c>
      <c r="H164" s="275" t="s">
        <v>990</v>
      </c>
      <c r="I164" s="126" t="s">
        <v>18578</v>
      </c>
    </row>
    <row r="165" spans="1:9" ht="45">
      <c r="A165" s="126" t="str">
        <f t="shared" si="11"/>
        <v>DeclarationB29</v>
      </c>
      <c r="B165" s="126" t="s">
        <v>859</v>
      </c>
      <c r="C165" s="126" t="s">
        <v>18659</v>
      </c>
      <c r="D165" s="126" t="s">
        <v>18676</v>
      </c>
      <c r="E165" s="239" t="s">
        <v>19590</v>
      </c>
      <c r="F165" s="270" t="s">
        <v>19942</v>
      </c>
      <c r="G165" s="126" t="s">
        <v>19591</v>
      </c>
      <c r="H165" s="275" t="s">
        <v>19592</v>
      </c>
      <c r="I165" s="126" t="s">
        <v>19593</v>
      </c>
    </row>
    <row r="166" spans="1:9" ht="27.6">
      <c r="A166" s="126" t="str">
        <f t="shared" si="11"/>
        <v>DeclarationB41</v>
      </c>
      <c r="B166" s="126" t="s">
        <v>859</v>
      </c>
      <c r="C166" s="126" t="s">
        <v>18660</v>
      </c>
      <c r="D166" s="126" t="s">
        <v>18690</v>
      </c>
      <c r="E166" s="126" t="s">
        <v>19594</v>
      </c>
      <c r="F166" s="270" t="s">
        <v>19941</v>
      </c>
      <c r="G166" s="126" t="s">
        <v>19598</v>
      </c>
      <c r="H166" s="275" t="s">
        <v>19602</v>
      </c>
      <c r="I166" s="126" t="s">
        <v>19606</v>
      </c>
    </row>
    <row r="167" spans="1:9" ht="69">
      <c r="A167" s="126" t="str">
        <f t="shared" si="11"/>
        <v>DeclarationB53</v>
      </c>
      <c r="B167" s="126" t="s">
        <v>859</v>
      </c>
      <c r="C167" s="126" t="s">
        <v>18661</v>
      </c>
      <c r="D167" s="126" t="s">
        <v>18677</v>
      </c>
      <c r="E167" s="126" t="s">
        <v>19595</v>
      </c>
      <c r="F167" s="240" t="s">
        <v>19993</v>
      </c>
      <c r="G167" s="126" t="s">
        <v>19599</v>
      </c>
      <c r="H167" s="275" t="s">
        <v>19603</v>
      </c>
      <c r="I167" s="126" t="s">
        <v>19607</v>
      </c>
    </row>
    <row r="168" spans="1:9" ht="28.8">
      <c r="A168" s="126" t="str">
        <f t="shared" si="11"/>
        <v>DeclarationB65</v>
      </c>
      <c r="B168" s="126" t="s">
        <v>859</v>
      </c>
      <c r="C168" s="126" t="s">
        <v>18662</v>
      </c>
      <c r="D168" s="126" t="s">
        <v>20135</v>
      </c>
      <c r="E168" s="239" t="s">
        <v>19596</v>
      </c>
      <c r="F168" s="240" t="s">
        <v>19943</v>
      </c>
      <c r="G168" s="126" t="s">
        <v>19600</v>
      </c>
      <c r="H168" s="275" t="s">
        <v>19604</v>
      </c>
      <c r="I168" s="126" t="s">
        <v>19608</v>
      </c>
    </row>
    <row r="169" spans="1:9" ht="28.8">
      <c r="A169" s="126" t="str">
        <f t="shared" si="11"/>
        <v>DeclarationB77</v>
      </c>
      <c r="B169" s="126" t="s">
        <v>859</v>
      </c>
      <c r="C169" s="126" t="s">
        <v>18663</v>
      </c>
      <c r="D169" s="126" t="s">
        <v>991</v>
      </c>
      <c r="E169" s="239" t="s">
        <v>992</v>
      </c>
      <c r="F169" s="270" t="s">
        <v>993</v>
      </c>
      <c r="G169" s="126" t="s">
        <v>994</v>
      </c>
      <c r="H169" s="275" t="s">
        <v>995</v>
      </c>
      <c r="I169" s="126" t="s">
        <v>18638</v>
      </c>
    </row>
    <row r="170" spans="1:9" ht="43.2">
      <c r="A170" s="126" t="str">
        <f t="shared" si="11"/>
        <v>DeclarationB89</v>
      </c>
      <c r="B170" s="126" t="s">
        <v>859</v>
      </c>
      <c r="C170" s="126" t="s">
        <v>18664</v>
      </c>
      <c r="D170" s="126" t="s">
        <v>18678</v>
      </c>
      <c r="E170" s="243" t="s">
        <v>19597</v>
      </c>
      <c r="F170" s="240" t="s">
        <v>19944</v>
      </c>
      <c r="G170" s="126" t="s">
        <v>19601</v>
      </c>
      <c r="H170" s="275" t="s">
        <v>19605</v>
      </c>
      <c r="I170" s="126" t="s">
        <v>19609</v>
      </c>
    </row>
    <row r="171" spans="1:9" ht="55.2">
      <c r="A171" s="126" t="str">
        <f t="shared" si="11"/>
        <v>DeclarationB101</v>
      </c>
      <c r="B171" s="126" t="s">
        <v>859</v>
      </c>
      <c r="C171" s="126" t="s">
        <v>18665</v>
      </c>
      <c r="D171" s="126" t="s">
        <v>996</v>
      </c>
      <c r="E171" s="243" t="s">
        <v>997</v>
      </c>
      <c r="F171" s="240" t="s">
        <v>998</v>
      </c>
      <c r="G171" s="126" t="s">
        <v>999</v>
      </c>
      <c r="H171" s="275" t="s">
        <v>1000</v>
      </c>
      <c r="I171" s="126" t="s">
        <v>18639</v>
      </c>
    </row>
    <row r="172" spans="1:9">
      <c r="A172" s="126" t="str">
        <f t="shared" si="11"/>
        <v>DeclarationB113</v>
      </c>
      <c r="B172" s="126" t="s">
        <v>859</v>
      </c>
      <c r="C172" s="126" t="s">
        <v>18666</v>
      </c>
      <c r="D172" s="126" t="s">
        <v>1001</v>
      </c>
      <c r="E172" s="239" t="s">
        <v>1002</v>
      </c>
      <c r="F172" s="240" t="s">
        <v>1003</v>
      </c>
      <c r="G172" s="126" t="s">
        <v>1004</v>
      </c>
      <c r="H172" s="275" t="s">
        <v>1005</v>
      </c>
      <c r="I172" s="126" t="s">
        <v>18587</v>
      </c>
    </row>
    <row r="173" spans="1:9" ht="27.6">
      <c r="A173" s="126" t="str">
        <f t="shared" si="11"/>
        <v>DeclarationB115</v>
      </c>
      <c r="B173" s="126" t="s">
        <v>859</v>
      </c>
      <c r="C173" s="126" t="s">
        <v>18667</v>
      </c>
      <c r="D173" s="126" t="s">
        <v>1006</v>
      </c>
      <c r="E173" s="239" t="s">
        <v>12221</v>
      </c>
      <c r="F173" s="270" t="s">
        <v>1007</v>
      </c>
      <c r="G173" s="126" t="s">
        <v>1008</v>
      </c>
      <c r="H173" s="275" t="s">
        <v>1009</v>
      </c>
      <c r="I173" s="126" t="s">
        <v>18582</v>
      </c>
    </row>
    <row r="174" spans="1:9" ht="55.2">
      <c r="A174" s="126" t="str">
        <f t="shared" si="11"/>
        <v>DeclarationB117</v>
      </c>
      <c r="B174" s="126" t="s">
        <v>859</v>
      </c>
      <c r="C174" s="126" t="s">
        <v>18668</v>
      </c>
      <c r="D174" s="126" t="s">
        <v>1010</v>
      </c>
      <c r="E174" s="239" t="s">
        <v>12222</v>
      </c>
      <c r="F174" s="240" t="s">
        <v>1011</v>
      </c>
      <c r="G174" s="126" t="s">
        <v>1012</v>
      </c>
      <c r="H174" s="275" t="s">
        <v>1013</v>
      </c>
      <c r="I174" s="126" t="s">
        <v>18583</v>
      </c>
    </row>
    <row r="175" spans="1:9" ht="52.8">
      <c r="A175" s="126" t="str">
        <f t="shared" si="11"/>
        <v>Declaration</v>
      </c>
      <c r="B175" s="126" t="s">
        <v>859</v>
      </c>
      <c r="D175" s="126" t="s">
        <v>1014</v>
      </c>
      <c r="E175" s="239" t="s">
        <v>1015</v>
      </c>
      <c r="F175" s="259" t="s">
        <v>1016</v>
      </c>
      <c r="G175" s="126" t="s">
        <v>1017</v>
      </c>
      <c r="H175" s="275" t="s">
        <v>1018</v>
      </c>
      <c r="I175" s="126"/>
    </row>
    <row r="176" spans="1:9" ht="69">
      <c r="A176" s="126" t="str">
        <f t="shared" si="11"/>
        <v>DeclarationB119</v>
      </c>
      <c r="B176" s="126" t="s">
        <v>859</v>
      </c>
      <c r="C176" s="126" t="s">
        <v>18669</v>
      </c>
      <c r="D176" s="126" t="s">
        <v>18679</v>
      </c>
      <c r="E176" s="243" t="s">
        <v>19614</v>
      </c>
      <c r="F176" s="240" t="s">
        <v>19945</v>
      </c>
      <c r="G176" s="126" t="s">
        <v>19615</v>
      </c>
      <c r="H176" s="275" t="s">
        <v>19617</v>
      </c>
      <c r="I176" s="126" t="s">
        <v>19616</v>
      </c>
    </row>
    <row r="177" spans="1:9" ht="27.6">
      <c r="A177" s="126" t="str">
        <f t="shared" si="11"/>
        <v>DeclarationB131</v>
      </c>
      <c r="B177" s="126" t="s">
        <v>859</v>
      </c>
      <c r="C177" s="126" t="s">
        <v>18670</v>
      </c>
      <c r="D177" s="126" t="s">
        <v>1019</v>
      </c>
      <c r="E177" s="239" t="s">
        <v>12223</v>
      </c>
      <c r="F177" s="240" t="s">
        <v>1020</v>
      </c>
      <c r="G177" s="126" t="s">
        <v>1021</v>
      </c>
      <c r="H177" s="281" t="s">
        <v>1022</v>
      </c>
      <c r="I177" s="126" t="s">
        <v>18579</v>
      </c>
    </row>
    <row r="178" spans="1:9" ht="41.4">
      <c r="A178" s="126" t="str">
        <f t="shared" si="11"/>
        <v>DeclarationB133</v>
      </c>
      <c r="B178" s="126" t="s">
        <v>859</v>
      </c>
      <c r="C178" s="126" t="s">
        <v>18671</v>
      </c>
      <c r="D178" s="126" t="s">
        <v>18680</v>
      </c>
      <c r="E178" s="379" t="s">
        <v>19610</v>
      </c>
      <c r="F178" s="270" t="s">
        <v>19946</v>
      </c>
      <c r="G178" s="126" t="s">
        <v>19611</v>
      </c>
      <c r="H178" s="275" t="s">
        <v>19612</v>
      </c>
      <c r="I178" s="126" t="s">
        <v>19613</v>
      </c>
    </row>
    <row r="179" spans="1:9" ht="41.4">
      <c r="A179" s="126" t="str">
        <f t="shared" si="11"/>
        <v>DeclarationB135</v>
      </c>
      <c r="B179" s="126" t="s">
        <v>859</v>
      </c>
      <c r="C179" s="126" t="s">
        <v>18672</v>
      </c>
      <c r="D179" s="126" t="s">
        <v>1023</v>
      </c>
      <c r="E179" s="239" t="s">
        <v>12224</v>
      </c>
      <c r="F179" s="240" t="s">
        <v>1024</v>
      </c>
      <c r="G179" s="126" t="s">
        <v>1025</v>
      </c>
      <c r="H179" s="275" t="s">
        <v>1026</v>
      </c>
      <c r="I179" s="126" t="s">
        <v>18581</v>
      </c>
    </row>
    <row r="180" spans="1:9" ht="27.6">
      <c r="A180" s="126" t="str">
        <f t="shared" si="11"/>
        <v>DeclarationB137</v>
      </c>
      <c r="B180" s="126" t="s">
        <v>859</v>
      </c>
      <c r="C180" s="126" t="s">
        <v>18673</v>
      </c>
      <c r="D180" s="126" t="s">
        <v>1027</v>
      </c>
      <c r="E180" s="239" t="s">
        <v>1028</v>
      </c>
      <c r="F180" s="240" t="s">
        <v>1029</v>
      </c>
      <c r="G180" s="126" t="s">
        <v>1030</v>
      </c>
      <c r="H180" s="281" t="s">
        <v>1031</v>
      </c>
      <c r="I180" s="126" t="s">
        <v>18580</v>
      </c>
    </row>
    <row r="181" spans="1:9">
      <c r="A181" s="126" t="str">
        <f t="shared" si="11"/>
        <v>DeclarationD29</v>
      </c>
      <c r="B181" s="126" t="s">
        <v>859</v>
      </c>
      <c r="C181" s="126" t="s">
        <v>18658</v>
      </c>
      <c r="D181" s="126" t="s">
        <v>1032</v>
      </c>
      <c r="E181" s="239" t="s">
        <v>1033</v>
      </c>
      <c r="F181" s="240" t="s">
        <v>1033</v>
      </c>
      <c r="G181" s="126" t="s">
        <v>1034</v>
      </c>
      <c r="H181" s="275" t="s">
        <v>1035</v>
      </c>
      <c r="I181" s="126" t="s">
        <v>18588</v>
      </c>
    </row>
    <row r="182" spans="1:9">
      <c r="A182" s="126" t="str">
        <f t="shared" si="11"/>
        <v>DeclarationB114</v>
      </c>
      <c r="B182" s="126" t="s">
        <v>859</v>
      </c>
      <c r="C182" s="126" t="s">
        <v>18689</v>
      </c>
      <c r="D182" s="126" t="s">
        <v>1036</v>
      </c>
      <c r="E182" s="239" t="s">
        <v>1037</v>
      </c>
      <c r="F182" s="240" t="s">
        <v>1038</v>
      </c>
      <c r="G182" s="126" t="s">
        <v>1039</v>
      </c>
      <c r="H182" s="275" t="s">
        <v>1036</v>
      </c>
      <c r="I182" s="126" t="s">
        <v>18589</v>
      </c>
    </row>
    <row r="183" spans="1:9">
      <c r="A183" s="126" t="str">
        <f t="shared" si="11"/>
        <v>DeclarationG29</v>
      </c>
      <c r="B183" s="126" t="s">
        <v>859</v>
      </c>
      <c r="C183" s="126" t="s">
        <v>18674</v>
      </c>
      <c r="D183" s="126" t="s">
        <v>1040</v>
      </c>
      <c r="E183" s="239" t="s">
        <v>1041</v>
      </c>
      <c r="F183" s="240" t="s">
        <v>1042</v>
      </c>
      <c r="G183" s="126" t="s">
        <v>1043</v>
      </c>
      <c r="H183" s="275" t="s">
        <v>1044</v>
      </c>
      <c r="I183" s="188" t="s">
        <v>18590</v>
      </c>
    </row>
    <row r="184" spans="1:9" ht="409.6">
      <c r="A184" s="126" t="str">
        <f t="shared" si="11"/>
        <v>Smelter Look-upA1</v>
      </c>
      <c r="B184" s="126" t="s">
        <v>1056</v>
      </c>
      <c r="C184" s="126" t="s">
        <v>358</v>
      </c>
      <c r="D184" s="126" t="s">
        <v>1057</v>
      </c>
      <c r="E184" s="239" t="s">
        <v>1058</v>
      </c>
      <c r="F184" s="270" t="s">
        <v>1059</v>
      </c>
      <c r="G184" s="126" t="s">
        <v>1060</v>
      </c>
      <c r="H184" s="275" t="s">
        <v>1061</v>
      </c>
      <c r="I184" s="126" t="s">
        <v>18594</v>
      </c>
    </row>
    <row r="185" spans="1:9" ht="27.6">
      <c r="A185" s="126" t="str">
        <f t="shared" si="11"/>
        <v>Smelter Look-upA4</v>
      </c>
      <c r="B185" s="126" t="s">
        <v>1056</v>
      </c>
      <c r="C185" s="126" t="s">
        <v>1062</v>
      </c>
      <c r="D185" s="126" t="s">
        <v>1063</v>
      </c>
      <c r="E185" s="240" t="s">
        <v>1064</v>
      </c>
      <c r="F185" s="240" t="s">
        <v>1064</v>
      </c>
      <c r="G185" s="126" t="s">
        <v>1065</v>
      </c>
      <c r="H185" s="275" t="s">
        <v>1066</v>
      </c>
      <c r="I185" s="188" t="s">
        <v>18595</v>
      </c>
    </row>
    <row r="186" spans="1:9" ht="27.6">
      <c r="A186" s="126" t="str">
        <f t="shared" si="11"/>
        <v>Smelter Look-upB4</v>
      </c>
      <c r="B186" s="126" t="s">
        <v>1056</v>
      </c>
      <c r="C186" s="126" t="s">
        <v>657</v>
      </c>
      <c r="D186" s="126" t="s">
        <v>1067</v>
      </c>
      <c r="E186" s="273" t="s">
        <v>1068</v>
      </c>
      <c r="F186" s="270" t="s">
        <v>1069</v>
      </c>
      <c r="G186" s="126" t="s">
        <v>1070</v>
      </c>
      <c r="H186" s="275" t="s">
        <v>1071</v>
      </c>
      <c r="I186" s="188" t="s">
        <v>18596</v>
      </c>
    </row>
    <row r="187" spans="1:9" ht="27.6">
      <c r="A187" s="126" t="str">
        <f t="shared" si="11"/>
        <v>Smelter Look-up</v>
      </c>
      <c r="B187" s="126" t="s">
        <v>1056</v>
      </c>
      <c r="D187" s="126" t="s">
        <v>1072</v>
      </c>
      <c r="E187" s="380"/>
      <c r="F187" s="240" t="s">
        <v>1073</v>
      </c>
      <c r="G187" s="126" t="s">
        <v>1074</v>
      </c>
      <c r="H187" s="275" t="s">
        <v>1075</v>
      </c>
      <c r="I187" s="188" t="s">
        <v>18597</v>
      </c>
    </row>
    <row r="188" spans="1:9" ht="27.6">
      <c r="A188" s="126" t="str">
        <f t="shared" si="11"/>
        <v>Smelter Look-upC4</v>
      </c>
      <c r="B188" s="126" t="s">
        <v>1056</v>
      </c>
      <c r="C188" s="126" t="s">
        <v>771</v>
      </c>
      <c r="D188" s="126" t="s">
        <v>1076</v>
      </c>
      <c r="E188" s="260" t="s">
        <v>1077</v>
      </c>
      <c r="F188" s="240" t="s">
        <v>1078</v>
      </c>
      <c r="G188" s="126" t="s">
        <v>1079</v>
      </c>
      <c r="H188" s="275" t="s">
        <v>1080</v>
      </c>
      <c r="I188" s="188" t="s">
        <v>18598</v>
      </c>
    </row>
    <row r="189" spans="1:9" ht="27.6">
      <c r="A189" s="126" t="str">
        <f t="shared" si="11"/>
        <v>Smelter Look-upD4</v>
      </c>
      <c r="B189" s="126" t="s">
        <v>1056</v>
      </c>
      <c r="C189" s="126" t="s">
        <v>1081</v>
      </c>
      <c r="D189" s="126" t="s">
        <v>1082</v>
      </c>
      <c r="E189" s="260"/>
      <c r="F189" s="240" t="s">
        <v>1083</v>
      </c>
      <c r="G189" s="126" t="s">
        <v>1084</v>
      </c>
      <c r="H189" s="275" t="s">
        <v>1085</v>
      </c>
      <c r="I189" s="188" t="s">
        <v>18599</v>
      </c>
    </row>
    <row r="190" spans="1:9" ht="27.6">
      <c r="A190" s="126" t="str">
        <f t="shared" si="11"/>
        <v>Smelter Look-upE4</v>
      </c>
      <c r="B190" s="126" t="s">
        <v>1056</v>
      </c>
      <c r="C190" s="126" t="s">
        <v>1086</v>
      </c>
      <c r="D190" s="126" t="s">
        <v>1087</v>
      </c>
      <c r="E190" s="273" t="s">
        <v>1088</v>
      </c>
      <c r="F190" s="270" t="s">
        <v>1089</v>
      </c>
      <c r="G190" s="126" t="s">
        <v>1090</v>
      </c>
      <c r="H190" s="275" t="s">
        <v>1091</v>
      </c>
      <c r="I190" s="188" t="s">
        <v>18600</v>
      </c>
    </row>
    <row r="191" spans="1:9" ht="27.6">
      <c r="A191" s="126" t="str">
        <f t="shared" si="11"/>
        <v>Smelter Look-upF4</v>
      </c>
      <c r="B191" s="126" t="s">
        <v>1056</v>
      </c>
      <c r="C191" s="126" t="s">
        <v>1092</v>
      </c>
      <c r="D191" s="126" t="s">
        <v>1093</v>
      </c>
      <c r="E191" s="239" t="s">
        <v>1094</v>
      </c>
      <c r="F191" s="240" t="s">
        <v>1095</v>
      </c>
      <c r="G191" s="126" t="s">
        <v>1096</v>
      </c>
      <c r="H191" s="275" t="s">
        <v>1097</v>
      </c>
      <c r="I191" s="188" t="s">
        <v>18601</v>
      </c>
    </row>
    <row r="192" spans="1:9" ht="27.6">
      <c r="A192" s="126" t="str">
        <f t="shared" si="11"/>
        <v>Smelter Look-upG4</v>
      </c>
      <c r="B192" s="126" t="s">
        <v>1056</v>
      </c>
      <c r="C192" s="126" t="s">
        <v>1098</v>
      </c>
      <c r="D192" s="126" t="s">
        <v>1099</v>
      </c>
      <c r="E192" s="239" t="s">
        <v>1100</v>
      </c>
      <c r="F192" s="240" t="s">
        <v>1101</v>
      </c>
      <c r="G192" s="126" t="s">
        <v>1102</v>
      </c>
      <c r="H192" s="275" t="s">
        <v>1103</v>
      </c>
      <c r="I192" s="188" t="s">
        <v>18602</v>
      </c>
    </row>
    <row r="193" spans="1:9" ht="27.6">
      <c r="A193" s="126" t="str">
        <f t="shared" si="11"/>
        <v>Smelter Look-upH4</v>
      </c>
      <c r="B193" s="126" t="s">
        <v>1056</v>
      </c>
      <c r="C193" s="126" t="s">
        <v>1104</v>
      </c>
      <c r="D193" s="126" t="s">
        <v>1105</v>
      </c>
      <c r="E193" s="239" t="s">
        <v>1106</v>
      </c>
      <c r="F193" s="240" t="s">
        <v>1107</v>
      </c>
      <c r="G193" s="126" t="s">
        <v>1108</v>
      </c>
      <c r="H193" s="275" t="s">
        <v>1109</v>
      </c>
      <c r="I193" s="188" t="s">
        <v>18603</v>
      </c>
    </row>
    <row r="194" spans="1:9" ht="27.6">
      <c r="A194" s="126" t="str">
        <f t="shared" si="11"/>
        <v>Smelter Look-upI4</v>
      </c>
      <c r="B194" s="126" t="s">
        <v>1056</v>
      </c>
      <c r="C194" s="126" t="s">
        <v>877</v>
      </c>
      <c r="D194" s="126" t="s">
        <v>1110</v>
      </c>
      <c r="E194" s="239" t="s">
        <v>1111</v>
      </c>
      <c r="F194" s="240" t="s">
        <v>1112</v>
      </c>
      <c r="G194" s="126" t="s">
        <v>1113</v>
      </c>
      <c r="H194" s="275" t="s">
        <v>1114</v>
      </c>
      <c r="I194" s="188" t="s">
        <v>18604</v>
      </c>
    </row>
    <row r="195" spans="1:9">
      <c r="A195" s="126" t="str">
        <f t="shared" si="11"/>
        <v>Smelter ListA4</v>
      </c>
      <c r="B195" s="126" t="s">
        <v>1115</v>
      </c>
      <c r="C195" s="126" t="s">
        <v>1062</v>
      </c>
      <c r="D195" s="126" t="s">
        <v>1116</v>
      </c>
      <c r="E195" s="239" t="s">
        <v>1117</v>
      </c>
      <c r="F195" s="240" t="s">
        <v>1118</v>
      </c>
      <c r="G195" s="126" t="s">
        <v>1119</v>
      </c>
      <c r="H195" s="275" t="s">
        <v>1120</v>
      </c>
      <c r="I195" s="188" t="s">
        <v>18605</v>
      </c>
    </row>
    <row r="196" spans="1:9">
      <c r="A196" s="126" t="str">
        <f t="shared" si="11"/>
        <v>Smelter ListB4</v>
      </c>
      <c r="B196" s="126" t="s">
        <v>1115</v>
      </c>
      <c r="C196" s="126" t="s">
        <v>657</v>
      </c>
      <c r="D196" s="126" t="s">
        <v>1121</v>
      </c>
      <c r="E196" s="239" t="s">
        <v>19623</v>
      </c>
      <c r="F196" s="240" t="s">
        <v>1122</v>
      </c>
      <c r="G196" s="126" t="s">
        <v>1123</v>
      </c>
      <c r="H196" s="275" t="s">
        <v>1124</v>
      </c>
      <c r="I196" s="188" t="s">
        <v>19618</v>
      </c>
    </row>
    <row r="197" spans="1:9">
      <c r="A197" s="126" t="str">
        <f t="shared" si="11"/>
        <v>Smelter ListC4</v>
      </c>
      <c r="B197" s="126" t="s">
        <v>1115</v>
      </c>
      <c r="C197" s="126" t="s">
        <v>771</v>
      </c>
      <c r="D197" s="126" t="s">
        <v>1067</v>
      </c>
      <c r="E197" s="273" t="s">
        <v>1068</v>
      </c>
      <c r="F197" s="270" t="s">
        <v>1069</v>
      </c>
      <c r="G197" s="126" t="s">
        <v>1070</v>
      </c>
      <c r="H197" s="275" t="s">
        <v>1071</v>
      </c>
      <c r="I197" s="188" t="s">
        <v>18596</v>
      </c>
    </row>
    <row r="198" spans="1:9" ht="26.4">
      <c r="A198" s="126" t="str">
        <f t="shared" si="11"/>
        <v>Smelter ListD4</v>
      </c>
      <c r="B198" s="126" t="s">
        <v>1115</v>
      </c>
      <c r="C198" s="126" t="s">
        <v>1081</v>
      </c>
      <c r="D198" s="261" t="s">
        <v>19624</v>
      </c>
      <c r="E198" s="273" t="s">
        <v>19622</v>
      </c>
      <c r="F198" s="270" t="s">
        <v>20119</v>
      </c>
      <c r="G198" s="381" t="s">
        <v>19621</v>
      </c>
      <c r="H198" s="275" t="s">
        <v>19620</v>
      </c>
      <c r="I198" s="188" t="s">
        <v>19619</v>
      </c>
    </row>
    <row r="199" spans="1:9" ht="15.6">
      <c r="A199" s="126" t="str">
        <f t="shared" si="11"/>
        <v>Smelter ListE4</v>
      </c>
      <c r="B199" s="126" t="s">
        <v>1115</v>
      </c>
      <c r="C199" s="126" t="s">
        <v>1086</v>
      </c>
      <c r="D199" s="126" t="s">
        <v>1125</v>
      </c>
      <c r="E199" s="239" t="s">
        <v>1126</v>
      </c>
      <c r="F199" s="240" t="s">
        <v>1127</v>
      </c>
      <c r="G199" s="126" t="s">
        <v>1128</v>
      </c>
      <c r="H199" s="275" t="s">
        <v>1129</v>
      </c>
      <c r="I199" s="188" t="s">
        <v>18606</v>
      </c>
    </row>
    <row r="200" spans="1:9">
      <c r="A200" s="126" t="str">
        <f t="shared" si="11"/>
        <v>Smelter ListH4</v>
      </c>
      <c r="B200" s="126" t="s">
        <v>1115</v>
      </c>
      <c r="C200" s="126" t="s">
        <v>1104</v>
      </c>
      <c r="D200" s="126" t="s">
        <v>1099</v>
      </c>
      <c r="E200" s="239" t="s">
        <v>1100</v>
      </c>
      <c r="F200" s="240" t="s">
        <v>1101</v>
      </c>
      <c r="G200" s="126" t="s">
        <v>1102</v>
      </c>
      <c r="H200" s="275" t="s">
        <v>1103</v>
      </c>
      <c r="I200" s="188" t="s">
        <v>18602</v>
      </c>
    </row>
    <row r="201" spans="1:9">
      <c r="A201" s="126" t="str">
        <f t="shared" si="11"/>
        <v>Smelter ListI4</v>
      </c>
      <c r="B201" s="126" t="s">
        <v>1115</v>
      </c>
      <c r="C201" s="126" t="s">
        <v>877</v>
      </c>
      <c r="D201" s="126" t="s">
        <v>1105</v>
      </c>
      <c r="E201" s="239" t="s">
        <v>1106</v>
      </c>
      <c r="F201" s="240" t="s">
        <v>1107</v>
      </c>
      <c r="G201" s="126" t="s">
        <v>1108</v>
      </c>
      <c r="H201" s="275" t="s">
        <v>1109</v>
      </c>
      <c r="I201" s="188" t="s">
        <v>18603</v>
      </c>
    </row>
    <row r="202" spans="1:9">
      <c r="A202" s="126" t="str">
        <f t="shared" si="11"/>
        <v>Smelter ListJ4</v>
      </c>
      <c r="B202" s="126" t="s">
        <v>1115</v>
      </c>
      <c r="C202" s="126" t="s">
        <v>1130</v>
      </c>
      <c r="D202" s="126" t="s">
        <v>1110</v>
      </c>
      <c r="E202" s="239" t="s">
        <v>1111</v>
      </c>
      <c r="F202" s="240" t="s">
        <v>1112</v>
      </c>
      <c r="G202" s="126" t="s">
        <v>1113</v>
      </c>
      <c r="H202" s="275" t="s">
        <v>1114</v>
      </c>
      <c r="I202" s="188" t="s">
        <v>18604</v>
      </c>
    </row>
    <row r="203" spans="1:9">
      <c r="A203" s="126" t="str">
        <f t="shared" si="11"/>
        <v>Smelter ListK4</v>
      </c>
      <c r="B203" s="126" t="s">
        <v>1115</v>
      </c>
      <c r="C203" s="126" t="s">
        <v>1131</v>
      </c>
      <c r="D203" s="126" t="s">
        <v>1132</v>
      </c>
      <c r="E203" s="239" t="s">
        <v>1133</v>
      </c>
      <c r="F203" s="240" t="s">
        <v>1134</v>
      </c>
      <c r="G203" s="126" t="s">
        <v>1135</v>
      </c>
      <c r="H203" s="275" t="s">
        <v>1136</v>
      </c>
      <c r="I203" s="188" t="s">
        <v>18607</v>
      </c>
    </row>
    <row r="204" spans="1:9">
      <c r="A204" s="126" t="str">
        <f t="shared" si="11"/>
        <v>Smelter ListL4</v>
      </c>
      <c r="B204" s="126" t="s">
        <v>1115</v>
      </c>
      <c r="C204" s="126" t="s">
        <v>1137</v>
      </c>
      <c r="D204" s="126" t="s">
        <v>1138</v>
      </c>
      <c r="E204" s="239" t="s">
        <v>1139</v>
      </c>
      <c r="F204" s="240" t="s">
        <v>1140</v>
      </c>
      <c r="G204" s="126" t="s">
        <v>1141</v>
      </c>
      <c r="H204" s="275" t="s">
        <v>1142</v>
      </c>
      <c r="I204" s="188" t="s">
        <v>18608</v>
      </c>
    </row>
    <row r="205" spans="1:9">
      <c r="A205" s="126" t="str">
        <f t="shared" si="11"/>
        <v>Smelter ListM4</v>
      </c>
      <c r="B205" s="126" t="s">
        <v>1115</v>
      </c>
      <c r="C205" s="126" t="s">
        <v>1143</v>
      </c>
      <c r="D205" s="126" t="s">
        <v>1144</v>
      </c>
      <c r="E205" s="239" t="s">
        <v>1145</v>
      </c>
      <c r="F205" s="240" t="s">
        <v>1146</v>
      </c>
      <c r="G205" s="126" t="s">
        <v>1147</v>
      </c>
      <c r="H205" s="275" t="s">
        <v>1148</v>
      </c>
      <c r="I205" s="188" t="s">
        <v>18609</v>
      </c>
    </row>
    <row r="206" spans="1:9" ht="28.8">
      <c r="A206" s="126" t="str">
        <f t="shared" si="11"/>
        <v>Smelter ListN4</v>
      </c>
      <c r="B206" s="126" t="s">
        <v>1115</v>
      </c>
      <c r="C206" s="126" t="s">
        <v>1149</v>
      </c>
      <c r="D206" s="126" t="s">
        <v>1150</v>
      </c>
      <c r="E206" s="239" t="s">
        <v>1151</v>
      </c>
      <c r="F206" s="240" t="s">
        <v>1152</v>
      </c>
      <c r="G206" s="126" t="s">
        <v>1153</v>
      </c>
      <c r="H206" s="275" t="s">
        <v>1154</v>
      </c>
      <c r="I206" s="126" t="s">
        <v>18610</v>
      </c>
    </row>
    <row r="207" spans="1:9" ht="28.8">
      <c r="A207" s="126" t="str">
        <f t="shared" si="11"/>
        <v>Smelter ListO4</v>
      </c>
      <c r="B207" s="126" t="s">
        <v>1115</v>
      </c>
      <c r="C207" s="126" t="s">
        <v>1155</v>
      </c>
      <c r="D207" s="126" t="s">
        <v>1156</v>
      </c>
      <c r="E207" s="239" t="s">
        <v>1157</v>
      </c>
      <c r="F207" s="240" t="s">
        <v>1158</v>
      </c>
      <c r="G207" s="126" t="s">
        <v>1159</v>
      </c>
      <c r="H207" s="275" t="s">
        <v>1160</v>
      </c>
      <c r="I207" s="126" t="s">
        <v>18611</v>
      </c>
    </row>
    <row r="208" spans="1:9" ht="27.6">
      <c r="A208" s="126" t="str">
        <f t="shared" si="11"/>
        <v>Smelter ListP4</v>
      </c>
      <c r="B208" s="126" t="s">
        <v>1115</v>
      </c>
      <c r="C208" s="126" t="s">
        <v>1161</v>
      </c>
      <c r="D208" s="126" t="s">
        <v>1162</v>
      </c>
      <c r="E208" s="239" t="s">
        <v>1163</v>
      </c>
      <c r="F208" s="240" t="s">
        <v>1164</v>
      </c>
      <c r="G208" s="126" t="s">
        <v>1165</v>
      </c>
      <c r="H208" s="275" t="s">
        <v>1166</v>
      </c>
      <c r="I208" s="126" t="s">
        <v>18612</v>
      </c>
    </row>
    <row r="209" spans="1:9">
      <c r="A209" s="126" t="str">
        <f t="shared" si="11"/>
        <v>Smelter ListQ4</v>
      </c>
      <c r="B209" s="126" t="s">
        <v>1115</v>
      </c>
      <c r="C209" s="126" t="s">
        <v>1167</v>
      </c>
      <c r="D209" s="126" t="s">
        <v>1040</v>
      </c>
      <c r="E209" s="239" t="s">
        <v>1041</v>
      </c>
      <c r="F209" s="240" t="s">
        <v>1042</v>
      </c>
      <c r="G209" s="126" t="s">
        <v>1043</v>
      </c>
      <c r="H209" s="275" t="s">
        <v>1044</v>
      </c>
      <c r="I209" s="126" t="s">
        <v>18590</v>
      </c>
    </row>
    <row r="210" spans="1:9" ht="27.6">
      <c r="A210" s="126" t="str">
        <f t="shared" si="11"/>
        <v>Smelter ListJ2</v>
      </c>
      <c r="B210" s="126" t="s">
        <v>1115</v>
      </c>
      <c r="C210" s="126" t="s">
        <v>1168</v>
      </c>
      <c r="D210" s="126" t="s">
        <v>1169</v>
      </c>
      <c r="E210" s="239" t="s">
        <v>1170</v>
      </c>
      <c r="F210" s="240" t="s">
        <v>1171</v>
      </c>
      <c r="G210" s="126" t="s">
        <v>1172</v>
      </c>
      <c r="H210" s="275" t="s">
        <v>1173</v>
      </c>
      <c r="I210" s="126" t="s">
        <v>18613</v>
      </c>
    </row>
    <row r="211" spans="1:9" ht="26.4">
      <c r="A211" s="126" t="str">
        <f t="shared" si="11"/>
        <v>Smelter ListB2</v>
      </c>
      <c r="B211" s="126" t="s">
        <v>1115</v>
      </c>
      <c r="C211" s="126" t="s">
        <v>646</v>
      </c>
      <c r="D211" s="262" t="s">
        <v>1174</v>
      </c>
      <c r="E211" s="239" t="s">
        <v>1175</v>
      </c>
      <c r="F211" s="240" t="s">
        <v>1176</v>
      </c>
      <c r="G211" s="262" t="s">
        <v>1177</v>
      </c>
      <c r="H211" s="275" t="s">
        <v>1178</v>
      </c>
      <c r="I211" s="126" t="s">
        <v>18614</v>
      </c>
    </row>
    <row r="212" spans="1:9" ht="409.6">
      <c r="A212" s="126" t="str">
        <f t="shared" si="11"/>
        <v>Smelter ListB3</v>
      </c>
      <c r="B212" s="126" t="s">
        <v>1115</v>
      </c>
      <c r="C212" s="126" t="s">
        <v>651</v>
      </c>
      <c r="D212" s="262" t="s">
        <v>19360</v>
      </c>
      <c r="E212" s="274" t="s">
        <v>1179</v>
      </c>
      <c r="F212" s="270" t="s">
        <v>1180</v>
      </c>
      <c r="G212" s="263" t="s">
        <v>1181</v>
      </c>
      <c r="H212" s="275" t="s">
        <v>1182</v>
      </c>
      <c r="I212" s="126" t="s">
        <v>18615</v>
      </c>
    </row>
    <row r="213" spans="1:9">
      <c r="A213" s="126" t="str">
        <f t="shared" si="11"/>
        <v>Smelter ListF4</v>
      </c>
      <c r="B213" s="126" t="s">
        <v>1115</v>
      </c>
      <c r="C213" s="126" t="s">
        <v>1092</v>
      </c>
      <c r="D213" s="126" t="s">
        <v>1183</v>
      </c>
      <c r="E213" s="239" t="s">
        <v>1184</v>
      </c>
      <c r="F213" s="240" t="s">
        <v>756</v>
      </c>
      <c r="G213" s="126" t="s">
        <v>1185</v>
      </c>
      <c r="H213" s="275" t="s">
        <v>1186</v>
      </c>
      <c r="I213" s="126" t="s">
        <v>18616</v>
      </c>
    </row>
    <row r="214" spans="1:9">
      <c r="A214" s="126" t="str">
        <f t="shared" si="11"/>
        <v>Smelter ListG4</v>
      </c>
      <c r="B214" s="126" t="s">
        <v>1115</v>
      </c>
      <c r="C214" s="126" t="s">
        <v>1098</v>
      </c>
      <c r="D214" s="126" t="s">
        <v>1093</v>
      </c>
      <c r="E214" s="239" t="s">
        <v>1094</v>
      </c>
      <c r="F214" s="240" t="s">
        <v>1095</v>
      </c>
      <c r="G214" s="126" t="s">
        <v>1187</v>
      </c>
      <c r="H214" s="275" t="s">
        <v>1097</v>
      </c>
      <c r="I214" s="126" t="s">
        <v>18601</v>
      </c>
    </row>
    <row r="215" spans="1:9">
      <c r="A215" s="126" t="str">
        <f t="shared" si="11"/>
        <v>Smelter ListAH5</v>
      </c>
      <c r="B215" s="126" t="s">
        <v>1115</v>
      </c>
      <c r="C215" s="126" t="s">
        <v>1188</v>
      </c>
      <c r="D215" s="126" t="s">
        <v>25</v>
      </c>
      <c r="E215" s="239" t="s">
        <v>1045</v>
      </c>
      <c r="F215" s="240" t="s">
        <v>1046</v>
      </c>
      <c r="G215" s="126" t="s">
        <v>1047</v>
      </c>
      <c r="H215" s="275" t="s">
        <v>1048</v>
      </c>
      <c r="I215" s="126" t="s">
        <v>18591</v>
      </c>
    </row>
    <row r="216" spans="1:9">
      <c r="A216" s="126" t="str">
        <f t="shared" ref="A216:A279" si="12">B216&amp;C216</f>
        <v>Smelter ListAH6</v>
      </c>
      <c r="B216" s="126" t="s">
        <v>1115</v>
      </c>
      <c r="C216" s="126" t="s">
        <v>1189</v>
      </c>
      <c r="D216" s="126" t="s">
        <v>22</v>
      </c>
      <c r="E216" s="239" t="s">
        <v>1049</v>
      </c>
      <c r="F216" s="240" t="s">
        <v>1050</v>
      </c>
      <c r="G216" s="126" t="s">
        <v>1051</v>
      </c>
      <c r="H216" s="275" t="s">
        <v>22</v>
      </c>
      <c r="I216" s="126" t="s">
        <v>18592</v>
      </c>
    </row>
    <row r="217" spans="1:9">
      <c r="A217" s="126" t="str">
        <f t="shared" si="12"/>
        <v>Smelter ListAH7</v>
      </c>
      <c r="B217" s="126" t="s">
        <v>1115</v>
      </c>
      <c r="C217" s="126" t="s">
        <v>1190</v>
      </c>
      <c r="D217" s="126" t="s">
        <v>26</v>
      </c>
      <c r="E217" s="239" t="s">
        <v>1052</v>
      </c>
      <c r="F217" s="240" t="s">
        <v>1053</v>
      </c>
      <c r="G217" s="126" t="s">
        <v>1054</v>
      </c>
      <c r="H217" s="275" t="s">
        <v>1055</v>
      </c>
      <c r="I217" s="126" t="s">
        <v>18593</v>
      </c>
    </row>
    <row r="218" spans="1:9" ht="41.4">
      <c r="A218" s="126" t="str">
        <f t="shared" si="12"/>
        <v>CheckerA1</v>
      </c>
      <c r="B218" s="126" t="s">
        <v>1191</v>
      </c>
      <c r="C218" s="126" t="s">
        <v>358</v>
      </c>
      <c r="D218" s="126" t="s">
        <v>1192</v>
      </c>
      <c r="E218" s="239" t="s">
        <v>1193</v>
      </c>
      <c r="F218" s="240" t="s">
        <v>1194</v>
      </c>
      <c r="G218" s="126" t="s">
        <v>1195</v>
      </c>
      <c r="H218" s="275" t="s">
        <v>1196</v>
      </c>
      <c r="I218" s="126" t="s">
        <v>18617</v>
      </c>
    </row>
    <row r="219" spans="1:9">
      <c r="A219" s="126" t="str">
        <f t="shared" si="12"/>
        <v>CheckerD1</v>
      </c>
      <c r="B219" s="126" t="s">
        <v>1191</v>
      </c>
      <c r="C219" s="126" t="s">
        <v>1197</v>
      </c>
      <c r="D219" s="126" t="s">
        <v>1198</v>
      </c>
      <c r="E219" s="239" t="s">
        <v>1199</v>
      </c>
      <c r="F219" s="240" t="s">
        <v>1200</v>
      </c>
      <c r="G219" s="126" t="s">
        <v>1201</v>
      </c>
      <c r="H219" s="275" t="s">
        <v>1202</v>
      </c>
      <c r="I219" s="126" t="s">
        <v>18618</v>
      </c>
    </row>
    <row r="220" spans="1:9">
      <c r="A220" s="126" t="str">
        <f t="shared" si="12"/>
        <v>CheckerA3</v>
      </c>
      <c r="B220" s="126" t="s">
        <v>1191</v>
      </c>
      <c r="C220" s="126" t="s">
        <v>367</v>
      </c>
      <c r="D220" s="126" t="s">
        <v>1203</v>
      </c>
      <c r="E220" s="239" t="s">
        <v>1204</v>
      </c>
      <c r="F220" s="240" t="s">
        <v>1205</v>
      </c>
      <c r="G220" s="126" t="s">
        <v>1206</v>
      </c>
      <c r="H220" s="275" t="s">
        <v>1207</v>
      </c>
      <c r="I220" s="126" t="s">
        <v>18619</v>
      </c>
    </row>
    <row r="221" spans="1:9">
      <c r="A221" s="126" t="str">
        <f t="shared" si="12"/>
        <v>CheckerB3</v>
      </c>
      <c r="B221" s="126" t="s">
        <v>1191</v>
      </c>
      <c r="C221" s="126" t="s">
        <v>651</v>
      </c>
      <c r="D221" s="126" t="s">
        <v>1208</v>
      </c>
      <c r="E221" s="239" t="s">
        <v>1209</v>
      </c>
      <c r="F221" s="240" t="s">
        <v>1033</v>
      </c>
      <c r="G221" s="126" t="s">
        <v>1210</v>
      </c>
      <c r="H221" s="275" t="s">
        <v>1211</v>
      </c>
      <c r="I221" s="126" t="s">
        <v>18620</v>
      </c>
    </row>
    <row r="222" spans="1:9">
      <c r="A222" s="126" t="str">
        <f t="shared" si="12"/>
        <v>CheckerC3</v>
      </c>
      <c r="B222" s="126" t="s">
        <v>1191</v>
      </c>
      <c r="C222" s="126" t="s">
        <v>765</v>
      </c>
      <c r="D222" s="126" t="s">
        <v>1212</v>
      </c>
      <c r="E222" s="239" t="s">
        <v>1213</v>
      </c>
      <c r="F222" s="240" t="s">
        <v>1214</v>
      </c>
      <c r="G222" s="126" t="s">
        <v>1215</v>
      </c>
      <c r="H222" s="275" t="s">
        <v>1216</v>
      </c>
      <c r="I222" s="126" t="s">
        <v>18621</v>
      </c>
    </row>
    <row r="223" spans="1:9">
      <c r="A223" s="126" t="str">
        <f t="shared" si="12"/>
        <v>CheckerD3</v>
      </c>
      <c r="B223" s="126" t="s">
        <v>1191</v>
      </c>
      <c r="C223" s="126" t="s">
        <v>1217</v>
      </c>
      <c r="D223" s="126" t="s">
        <v>1218</v>
      </c>
      <c r="E223" s="239" t="s">
        <v>1219</v>
      </c>
      <c r="F223" s="240" t="s">
        <v>1220</v>
      </c>
      <c r="G223" s="126" t="s">
        <v>1221</v>
      </c>
      <c r="H223" s="275" t="s">
        <v>1222</v>
      </c>
      <c r="I223" s="126" t="s">
        <v>18622</v>
      </c>
    </row>
    <row r="224" spans="1:9" ht="32.25" customHeight="1">
      <c r="A224" s="126" t="str">
        <f t="shared" si="12"/>
        <v>CheckerB62</v>
      </c>
      <c r="B224" s="126" t="s">
        <v>1191</v>
      </c>
      <c r="C224" s="126" t="s">
        <v>1223</v>
      </c>
      <c r="D224" s="126" t="s">
        <v>1224</v>
      </c>
      <c r="E224" s="239" t="s">
        <v>1225</v>
      </c>
      <c r="F224" s="240" t="s">
        <v>1226</v>
      </c>
      <c r="G224" s="126" t="s">
        <v>1227</v>
      </c>
      <c r="H224" s="275" t="s">
        <v>1228</v>
      </c>
      <c r="I224" s="126" t="s">
        <v>18623</v>
      </c>
    </row>
    <row r="225" spans="1:9" ht="32.25" customHeight="1">
      <c r="A225" s="126" t="str">
        <f t="shared" si="12"/>
        <v>CheckerB63</v>
      </c>
      <c r="B225" s="126" t="s">
        <v>1191</v>
      </c>
      <c r="C225" s="126" t="s">
        <v>1229</v>
      </c>
      <c r="D225" s="126" t="s">
        <v>1224</v>
      </c>
      <c r="E225" s="239" t="s">
        <v>1225</v>
      </c>
      <c r="F225" s="240" t="s">
        <v>1230</v>
      </c>
      <c r="G225" s="126" t="s">
        <v>1227</v>
      </c>
      <c r="H225" s="275" t="s">
        <v>1228</v>
      </c>
      <c r="I225" s="126" t="s">
        <v>18623</v>
      </c>
    </row>
    <row r="226" spans="1:9" ht="32.25" customHeight="1">
      <c r="A226" s="126" t="str">
        <f t="shared" si="12"/>
        <v>CheckerB64</v>
      </c>
      <c r="B226" s="126" t="s">
        <v>1191</v>
      </c>
      <c r="C226" s="126" t="s">
        <v>1231</v>
      </c>
      <c r="D226" s="126" t="s">
        <v>1224</v>
      </c>
      <c r="E226" s="239" t="s">
        <v>1225</v>
      </c>
      <c r="F226" s="240" t="s">
        <v>1230</v>
      </c>
      <c r="G226" s="126" t="s">
        <v>1227</v>
      </c>
      <c r="H226" s="275" t="s">
        <v>1228</v>
      </c>
      <c r="I226" s="126" t="s">
        <v>18623</v>
      </c>
    </row>
    <row r="227" spans="1:9" ht="32.25" customHeight="1">
      <c r="A227" s="126" t="str">
        <f t="shared" si="12"/>
        <v>CheckerB65</v>
      </c>
      <c r="B227" s="126" t="s">
        <v>1191</v>
      </c>
      <c r="C227" s="126" t="s">
        <v>1232</v>
      </c>
      <c r="D227" s="126" t="s">
        <v>1224</v>
      </c>
      <c r="E227" s="239" t="s">
        <v>1225</v>
      </c>
      <c r="F227" s="240" t="s">
        <v>1230</v>
      </c>
      <c r="G227" s="126" t="s">
        <v>1227</v>
      </c>
      <c r="H227" s="275" t="s">
        <v>1228</v>
      </c>
      <c r="I227" s="126" t="s">
        <v>18623</v>
      </c>
    </row>
    <row r="228" spans="1:9" ht="32.25" customHeight="1">
      <c r="A228" s="126" t="str">
        <f t="shared" si="12"/>
        <v>CheckerCOMP</v>
      </c>
      <c r="B228" s="126" t="s">
        <v>1191</v>
      </c>
      <c r="C228" s="126" t="s">
        <v>1233</v>
      </c>
      <c r="D228" s="126" t="s">
        <v>1234</v>
      </c>
      <c r="E228" s="239" t="s">
        <v>1235</v>
      </c>
      <c r="F228" s="240" t="s">
        <v>1236</v>
      </c>
      <c r="G228" s="126" t="s">
        <v>1237</v>
      </c>
      <c r="H228" s="275" t="s">
        <v>1238</v>
      </c>
      <c r="I228" s="126" t="s">
        <v>18624</v>
      </c>
    </row>
    <row r="229" spans="1:9" ht="27.6">
      <c r="A229" s="126" t="str">
        <f t="shared" si="12"/>
        <v>CheckerJ4</v>
      </c>
      <c r="B229" s="126" t="s">
        <v>1191</v>
      </c>
      <c r="C229" s="126" t="s">
        <v>1130</v>
      </c>
      <c r="D229" s="126" t="s">
        <v>1239</v>
      </c>
      <c r="E229" s="239" t="s">
        <v>1240</v>
      </c>
      <c r="F229" s="240" t="s">
        <v>1241</v>
      </c>
      <c r="G229" s="126" t="s">
        <v>1242</v>
      </c>
      <c r="H229" s="275" t="s">
        <v>1243</v>
      </c>
      <c r="I229" s="126" t="s">
        <v>18625</v>
      </c>
    </row>
    <row r="230" spans="1:9" ht="27.6">
      <c r="A230" s="126" t="str">
        <f t="shared" si="12"/>
        <v>CheckerJ5</v>
      </c>
      <c r="B230" s="126" t="s">
        <v>1191</v>
      </c>
      <c r="C230" s="126" t="s">
        <v>1244</v>
      </c>
      <c r="D230" s="126" t="s">
        <v>1245</v>
      </c>
      <c r="E230" s="239" t="s">
        <v>1246</v>
      </c>
      <c r="F230" s="240" t="s">
        <v>1247</v>
      </c>
      <c r="G230" s="126" t="s">
        <v>1248</v>
      </c>
      <c r="H230" s="275" t="s">
        <v>1249</v>
      </c>
      <c r="I230" s="126" t="s">
        <v>18626</v>
      </c>
    </row>
    <row r="231" spans="1:9" ht="27.6">
      <c r="A231" s="126" t="str">
        <f t="shared" si="12"/>
        <v>CheckerJ6</v>
      </c>
      <c r="B231" s="126" t="s">
        <v>1191</v>
      </c>
      <c r="C231" s="126" t="s">
        <v>1250</v>
      </c>
      <c r="D231" s="126" t="s">
        <v>1251</v>
      </c>
      <c r="E231" s="239" t="s">
        <v>1252</v>
      </c>
      <c r="F231" s="240" t="s">
        <v>1253</v>
      </c>
      <c r="G231" s="126" t="s">
        <v>1254</v>
      </c>
      <c r="H231" s="275" t="s">
        <v>1255</v>
      </c>
      <c r="I231" s="126" t="s">
        <v>18627</v>
      </c>
    </row>
    <row r="232" spans="1:9" ht="27.6">
      <c r="A232" s="126" t="str">
        <f t="shared" si="12"/>
        <v>CheckerJ7</v>
      </c>
      <c r="B232" s="126" t="s">
        <v>1191</v>
      </c>
      <c r="C232" s="126" t="s">
        <v>1256</v>
      </c>
      <c r="D232" s="126" t="s">
        <v>18989</v>
      </c>
      <c r="H232" s="275"/>
      <c r="I232" s="126"/>
    </row>
    <row r="233" spans="1:9">
      <c r="A233" s="126" t="str">
        <f t="shared" si="12"/>
        <v>CheckerJ8</v>
      </c>
      <c r="B233" s="126" t="s">
        <v>1191</v>
      </c>
      <c r="C233" s="126" t="s">
        <v>1259</v>
      </c>
      <c r="H233" s="275"/>
      <c r="I233" s="126"/>
    </row>
    <row r="234" spans="1:9" ht="27.6">
      <c r="A234" s="126" t="str">
        <f t="shared" si="12"/>
        <v>CheckerJ9</v>
      </c>
      <c r="B234" s="126" t="s">
        <v>1191</v>
      </c>
      <c r="C234" s="126" t="s">
        <v>1262</v>
      </c>
      <c r="D234" s="126" t="s">
        <v>18959</v>
      </c>
      <c r="E234" s="239" t="s">
        <v>19625</v>
      </c>
      <c r="F234" s="240" t="s">
        <v>19691</v>
      </c>
      <c r="G234" s="126" t="s">
        <v>1257</v>
      </c>
      <c r="H234" s="275" t="s">
        <v>1258</v>
      </c>
      <c r="I234" s="126" t="s">
        <v>18628</v>
      </c>
    </row>
    <row r="235" spans="1:9" ht="28.8">
      <c r="A235" s="126" t="str">
        <f t="shared" si="12"/>
        <v>CheckerJ10</v>
      </c>
      <c r="B235" s="126" t="s">
        <v>1191</v>
      </c>
      <c r="C235" s="126" t="s">
        <v>1265</v>
      </c>
      <c r="D235" s="126" t="s">
        <v>19074</v>
      </c>
      <c r="E235" s="239" t="s">
        <v>19626</v>
      </c>
      <c r="F235" s="240" t="s">
        <v>19692</v>
      </c>
      <c r="G235" s="126" t="s">
        <v>1260</v>
      </c>
      <c r="H235" s="275" t="s">
        <v>1261</v>
      </c>
      <c r="I235" s="126" t="s">
        <v>18629</v>
      </c>
    </row>
    <row r="236" spans="1:9" ht="27.6">
      <c r="A236" s="126" t="str">
        <f t="shared" si="12"/>
        <v>CheckerJ11</v>
      </c>
      <c r="B236" s="126" t="s">
        <v>1191</v>
      </c>
      <c r="C236" s="126" t="s">
        <v>1268</v>
      </c>
      <c r="D236" s="126" t="s">
        <v>18960</v>
      </c>
      <c r="E236" s="239" t="s">
        <v>19627</v>
      </c>
      <c r="F236" s="240" t="s">
        <v>19693</v>
      </c>
      <c r="G236" s="126" t="s">
        <v>1263</v>
      </c>
      <c r="H236" s="275" t="s">
        <v>1264</v>
      </c>
      <c r="I236" s="126" t="s">
        <v>18630</v>
      </c>
    </row>
    <row r="237" spans="1:9" ht="41.4">
      <c r="A237" s="126" t="str">
        <f t="shared" si="12"/>
        <v>CheckerJ12</v>
      </c>
      <c r="B237" s="126" t="s">
        <v>1191</v>
      </c>
      <c r="C237" s="126" t="s">
        <v>1271</v>
      </c>
      <c r="D237" s="126" t="s">
        <v>18961</v>
      </c>
      <c r="E237" s="239" t="s">
        <v>19628</v>
      </c>
      <c r="F237" s="240" t="s">
        <v>19694</v>
      </c>
      <c r="G237" s="250" t="s">
        <v>1266</v>
      </c>
      <c r="H237" s="275" t="s">
        <v>1267</v>
      </c>
      <c r="I237" s="126" t="s">
        <v>18631</v>
      </c>
    </row>
    <row r="238" spans="1:9" ht="41.4">
      <c r="A238" s="126" t="str">
        <f t="shared" si="12"/>
        <v>CheckerJ13</v>
      </c>
      <c r="B238" s="126" t="s">
        <v>1191</v>
      </c>
      <c r="C238" s="126" t="s">
        <v>1272</v>
      </c>
      <c r="D238" s="126" t="s">
        <v>18962</v>
      </c>
      <c r="E238" s="239" t="s">
        <v>19630</v>
      </c>
      <c r="F238" s="240" t="s">
        <v>19695</v>
      </c>
      <c r="G238" s="250" t="s">
        <v>1269</v>
      </c>
      <c r="H238" s="275" t="s">
        <v>1270</v>
      </c>
      <c r="I238" s="126" t="s">
        <v>18632</v>
      </c>
    </row>
    <row r="239" spans="1:9" ht="27.6">
      <c r="A239" s="126" t="str">
        <f t="shared" si="12"/>
        <v>CheckerJ15</v>
      </c>
      <c r="B239" s="126" t="s">
        <v>1191</v>
      </c>
      <c r="C239" s="126" t="s">
        <v>1275</v>
      </c>
      <c r="D239" s="126" t="s">
        <v>18963</v>
      </c>
      <c r="E239" s="239" t="s">
        <v>19629</v>
      </c>
      <c r="F239" s="240" t="s">
        <v>19696</v>
      </c>
      <c r="G239" s="126" t="s">
        <v>1273</v>
      </c>
      <c r="H239" s="275" t="s">
        <v>1274</v>
      </c>
      <c r="I239" s="126" t="s">
        <v>18633</v>
      </c>
    </row>
    <row r="240" spans="1:9" ht="41.4">
      <c r="A240" s="126" t="str">
        <f t="shared" si="12"/>
        <v>CheckerJ17</v>
      </c>
      <c r="B240" s="126" t="s">
        <v>1191</v>
      </c>
      <c r="C240" s="126" t="s">
        <v>1276</v>
      </c>
      <c r="D240" s="245" t="s">
        <v>18964</v>
      </c>
      <c r="E240" s="246" t="s">
        <v>19631</v>
      </c>
      <c r="F240" s="252" t="s">
        <v>19947</v>
      </c>
      <c r="G240" s="250" t="s">
        <v>19714</v>
      </c>
      <c r="H240" s="275" t="s">
        <v>19768</v>
      </c>
      <c r="I240" s="126" t="s">
        <v>19822</v>
      </c>
    </row>
    <row r="241" spans="1:9" ht="41.4">
      <c r="A241" s="126" t="str">
        <f t="shared" si="12"/>
        <v>CheckerJ18</v>
      </c>
      <c r="B241" s="126" t="s">
        <v>1191</v>
      </c>
      <c r="C241" s="126" t="s">
        <v>1277</v>
      </c>
      <c r="D241" s="245" t="s">
        <v>18968</v>
      </c>
      <c r="E241" s="246" t="s">
        <v>19632</v>
      </c>
      <c r="F241" s="252" t="s">
        <v>19948</v>
      </c>
      <c r="G241" s="251" t="s">
        <v>19715</v>
      </c>
      <c r="H241" s="275" t="s">
        <v>19769</v>
      </c>
      <c r="I241" s="126" t="s">
        <v>19823</v>
      </c>
    </row>
    <row r="242" spans="1:9" ht="41.4">
      <c r="A242" s="126" t="str">
        <f t="shared" si="12"/>
        <v>CheckerJ19</v>
      </c>
      <c r="B242" s="126" t="s">
        <v>1191</v>
      </c>
      <c r="C242" s="126" t="s">
        <v>18967</v>
      </c>
      <c r="D242" s="245" t="s">
        <v>18969</v>
      </c>
      <c r="E242" s="246" t="s">
        <v>19633</v>
      </c>
      <c r="F242" s="252" t="s">
        <v>19949</v>
      </c>
      <c r="G242" s="96" t="s">
        <v>19716</v>
      </c>
      <c r="H242" s="275" t="s">
        <v>19770</v>
      </c>
      <c r="I242" s="126" t="s">
        <v>19824</v>
      </c>
    </row>
    <row r="243" spans="1:9" ht="41.4">
      <c r="A243" s="126" t="str">
        <f t="shared" si="12"/>
        <v>CheckerJ20</v>
      </c>
      <c r="B243" s="126" t="s">
        <v>1191</v>
      </c>
      <c r="C243" s="126" t="s">
        <v>1278</v>
      </c>
      <c r="D243" s="245" t="s">
        <v>18970</v>
      </c>
      <c r="E243" s="246" t="s">
        <v>19634</v>
      </c>
      <c r="F243" s="252" t="s">
        <v>19950</v>
      </c>
      <c r="G243" s="96" t="s">
        <v>19717</v>
      </c>
      <c r="H243" s="275" t="s">
        <v>19771</v>
      </c>
      <c r="I243" s="126" t="s">
        <v>19825</v>
      </c>
    </row>
    <row r="244" spans="1:9" ht="41.4">
      <c r="A244" s="126" t="str">
        <f t="shared" si="12"/>
        <v>CheckerJ21</v>
      </c>
      <c r="B244" s="126" t="s">
        <v>1191</v>
      </c>
      <c r="C244" s="126" t="s">
        <v>1279</v>
      </c>
      <c r="D244" s="245" t="s">
        <v>18971</v>
      </c>
      <c r="E244" s="246" t="s">
        <v>19635</v>
      </c>
      <c r="F244" s="252" t="s">
        <v>19951</v>
      </c>
      <c r="G244" s="96" t="s">
        <v>19718</v>
      </c>
      <c r="H244" s="275" t="s">
        <v>19772</v>
      </c>
      <c r="I244" s="126" t="s">
        <v>19826</v>
      </c>
    </row>
    <row r="245" spans="1:9" ht="41.4">
      <c r="A245" s="126" t="str">
        <f t="shared" si="12"/>
        <v>CheckerJ22</v>
      </c>
      <c r="B245" s="126" t="s">
        <v>1191</v>
      </c>
      <c r="C245" s="126" t="s">
        <v>1280</v>
      </c>
      <c r="D245" s="245" t="s">
        <v>18972</v>
      </c>
      <c r="E245" s="246" t="s">
        <v>19636</v>
      </c>
      <c r="F245" s="252" t="s">
        <v>19952</v>
      </c>
      <c r="G245" s="96" t="s">
        <v>19719</v>
      </c>
      <c r="H245" s="275" t="s">
        <v>19773</v>
      </c>
      <c r="I245" s="126" t="s">
        <v>19827</v>
      </c>
    </row>
    <row r="246" spans="1:9" ht="13.5" customHeight="1">
      <c r="A246" s="126" t="str">
        <f t="shared" si="12"/>
        <v>CheckerJ23</v>
      </c>
      <c r="B246" s="126" t="s">
        <v>1191</v>
      </c>
      <c r="C246" s="126" t="s">
        <v>1281</v>
      </c>
      <c r="E246" s="243"/>
      <c r="G246"/>
      <c r="H246" s="275"/>
      <c r="I246" s="126"/>
    </row>
    <row r="247" spans="1:9" ht="13.5" customHeight="1">
      <c r="A247" s="126" t="str">
        <f t="shared" si="12"/>
        <v>CheckerJ24</v>
      </c>
      <c r="B247" s="126" t="s">
        <v>1191</v>
      </c>
      <c r="C247" s="126" t="s">
        <v>1282</v>
      </c>
      <c r="E247" s="243"/>
      <c r="G247"/>
      <c r="H247" s="275"/>
      <c r="I247" s="126"/>
    </row>
    <row r="248" spans="1:9" ht="13.5" customHeight="1">
      <c r="A248" s="126" t="str">
        <f t="shared" si="12"/>
        <v>CheckerJ25</v>
      </c>
      <c r="B248" s="126" t="s">
        <v>1191</v>
      </c>
      <c r="C248" s="126" t="s">
        <v>18965</v>
      </c>
      <c r="E248" s="243"/>
      <c r="G248"/>
      <c r="H248" s="275"/>
      <c r="I248" s="126"/>
    </row>
    <row r="249" spans="1:9" ht="13.5" customHeight="1">
      <c r="A249" s="126" t="str">
        <f t="shared" si="12"/>
        <v>CheckerJ26</v>
      </c>
      <c r="B249" s="126" t="s">
        <v>1191</v>
      </c>
      <c r="C249" s="126" t="s">
        <v>18966</v>
      </c>
      <c r="E249" s="243"/>
      <c r="G249"/>
      <c r="H249" s="275"/>
      <c r="I249" s="126"/>
    </row>
    <row r="250" spans="1:9" ht="55.2">
      <c r="A250" s="126" t="str">
        <f t="shared" si="12"/>
        <v>CheckerJ28</v>
      </c>
      <c r="B250" s="126" t="s">
        <v>1191</v>
      </c>
      <c r="C250" s="126" t="s">
        <v>1283</v>
      </c>
      <c r="D250" s="245" t="s">
        <v>18973</v>
      </c>
      <c r="E250" s="246" t="s">
        <v>19637</v>
      </c>
      <c r="F250" s="252" t="s">
        <v>19953</v>
      </c>
      <c r="G250" s="257" t="s">
        <v>19720</v>
      </c>
      <c r="H250" s="275" t="s">
        <v>19774</v>
      </c>
      <c r="I250" s="126" t="s">
        <v>19828</v>
      </c>
    </row>
    <row r="251" spans="1:9" ht="55.2">
      <c r="A251" s="126" t="str">
        <f t="shared" si="12"/>
        <v>CheckerJ29</v>
      </c>
      <c r="B251" s="126" t="s">
        <v>1191</v>
      </c>
      <c r="C251" s="126" t="s">
        <v>1284</v>
      </c>
      <c r="D251" s="245" t="s">
        <v>18974</v>
      </c>
      <c r="E251" s="246" t="s">
        <v>19638</v>
      </c>
      <c r="F251" s="252" t="s">
        <v>19954</v>
      </c>
      <c r="G251" s="257" t="s">
        <v>19721</v>
      </c>
      <c r="H251" s="275" t="s">
        <v>19775</v>
      </c>
      <c r="I251" s="126" t="s">
        <v>19829</v>
      </c>
    </row>
    <row r="252" spans="1:9" ht="55.2">
      <c r="A252" s="126" t="str">
        <f t="shared" si="12"/>
        <v>CheckerJ30</v>
      </c>
      <c r="B252" s="126" t="s">
        <v>1191</v>
      </c>
      <c r="C252" s="126" t="s">
        <v>18975</v>
      </c>
      <c r="D252" s="245" t="s">
        <v>18983</v>
      </c>
      <c r="E252" s="246" t="s">
        <v>19639</v>
      </c>
      <c r="F252" s="252" t="s">
        <v>19955</v>
      </c>
      <c r="G252" s="257" t="s">
        <v>19722</v>
      </c>
      <c r="H252" s="275" t="s">
        <v>19776</v>
      </c>
      <c r="I252" s="126" t="s">
        <v>19830</v>
      </c>
    </row>
    <row r="253" spans="1:9" ht="55.2">
      <c r="A253" s="126" t="str">
        <f t="shared" si="12"/>
        <v>CheckerJ31</v>
      </c>
      <c r="B253" s="126" t="s">
        <v>1191</v>
      </c>
      <c r="C253" s="126" t="s">
        <v>18976</v>
      </c>
      <c r="D253" s="245" t="s">
        <v>18984</v>
      </c>
      <c r="E253" s="246" t="s">
        <v>19640</v>
      </c>
      <c r="F253" s="252" t="s">
        <v>19956</v>
      </c>
      <c r="G253" s="257" t="s">
        <v>19723</v>
      </c>
      <c r="H253" s="275" t="s">
        <v>19777</v>
      </c>
      <c r="I253" s="126" t="s">
        <v>19831</v>
      </c>
    </row>
    <row r="254" spans="1:9" ht="55.2">
      <c r="A254" s="126" t="str">
        <f t="shared" si="12"/>
        <v>CheckerJ32</v>
      </c>
      <c r="B254" s="126" t="s">
        <v>1191</v>
      </c>
      <c r="C254" s="126" t="s">
        <v>18977</v>
      </c>
      <c r="D254" s="245" t="s">
        <v>18985</v>
      </c>
      <c r="E254" s="246" t="s">
        <v>19641</v>
      </c>
      <c r="F254" s="252" t="s">
        <v>19957</v>
      </c>
      <c r="G254" s="257" t="s">
        <v>19724</v>
      </c>
      <c r="H254" s="275" t="s">
        <v>19778</v>
      </c>
      <c r="I254" s="126" t="s">
        <v>19832</v>
      </c>
    </row>
    <row r="255" spans="1:9" ht="55.2">
      <c r="A255" s="126" t="str">
        <f t="shared" si="12"/>
        <v>CheckerJ33</v>
      </c>
      <c r="B255" s="126" t="s">
        <v>1191</v>
      </c>
      <c r="C255" s="126" t="s">
        <v>18978</v>
      </c>
      <c r="D255" s="245" t="s">
        <v>18986</v>
      </c>
      <c r="E255" s="246" t="s">
        <v>19642</v>
      </c>
      <c r="F255" s="252" t="s">
        <v>19958</v>
      </c>
      <c r="G255" s="257" t="s">
        <v>19725</v>
      </c>
      <c r="H255" s="275" t="s">
        <v>19779</v>
      </c>
      <c r="I255" s="126" t="s">
        <v>19833</v>
      </c>
    </row>
    <row r="256" spans="1:9">
      <c r="A256" s="126" t="str">
        <f t="shared" si="12"/>
        <v>CheckerJ34</v>
      </c>
      <c r="B256" s="126" t="s">
        <v>1191</v>
      </c>
      <c r="C256" s="126" t="s">
        <v>18979</v>
      </c>
      <c r="D256" s="245"/>
      <c r="E256" s="246"/>
      <c r="F256" s="253"/>
      <c r="G256" s="257"/>
      <c r="H256" s="275"/>
      <c r="I256" s="126"/>
    </row>
    <row r="257" spans="1:9">
      <c r="A257" s="126" t="str">
        <f t="shared" si="12"/>
        <v>CheckerJ35</v>
      </c>
      <c r="B257" s="126" t="s">
        <v>1191</v>
      </c>
      <c r="C257" s="126" t="s">
        <v>18980</v>
      </c>
      <c r="D257" s="245"/>
      <c r="E257" s="246"/>
      <c r="F257" s="253"/>
      <c r="G257" s="257"/>
      <c r="H257" s="275"/>
      <c r="I257" s="126"/>
    </row>
    <row r="258" spans="1:9">
      <c r="A258" s="126" t="str">
        <f t="shared" si="12"/>
        <v>CheckerJ36</v>
      </c>
      <c r="B258" s="126" t="s">
        <v>1191</v>
      </c>
      <c r="C258" s="126" t="s">
        <v>18981</v>
      </c>
      <c r="D258" s="245"/>
      <c r="E258" s="246"/>
      <c r="F258" s="253"/>
      <c r="G258" s="257"/>
      <c r="H258" s="275"/>
      <c r="I258" s="126"/>
    </row>
    <row r="259" spans="1:9">
      <c r="A259" s="126" t="str">
        <f t="shared" si="12"/>
        <v>CheckerJ37</v>
      </c>
      <c r="B259" s="126" t="s">
        <v>1191</v>
      </c>
      <c r="C259" s="126" t="s">
        <v>18982</v>
      </c>
      <c r="D259" s="245"/>
      <c r="E259" s="246"/>
      <c r="F259" s="253"/>
      <c r="G259" s="257"/>
      <c r="H259" s="275"/>
      <c r="I259" s="126"/>
    </row>
    <row r="260" spans="1:9" ht="55.2">
      <c r="A260" s="126" t="str">
        <f t="shared" si="12"/>
        <v>CheckerJ39</v>
      </c>
      <c r="B260" s="126" t="s">
        <v>1191</v>
      </c>
      <c r="C260" s="126" t="s">
        <v>18987</v>
      </c>
      <c r="D260" s="245" t="s">
        <v>19075</v>
      </c>
      <c r="E260" s="246" t="s">
        <v>19643</v>
      </c>
      <c r="F260" s="252" t="s">
        <v>19959</v>
      </c>
      <c r="G260" s="251" t="s">
        <v>19726</v>
      </c>
      <c r="H260" s="275" t="s">
        <v>19780</v>
      </c>
      <c r="I260" s="126" t="s">
        <v>19834</v>
      </c>
    </row>
    <row r="261" spans="1:9" ht="55.2">
      <c r="A261" s="126" t="str">
        <f t="shared" si="12"/>
        <v>CheckerJ40</v>
      </c>
      <c r="B261" s="126" t="s">
        <v>1191</v>
      </c>
      <c r="C261" s="126" t="s">
        <v>18988</v>
      </c>
      <c r="D261" s="245" t="s">
        <v>19076</v>
      </c>
      <c r="E261" s="246" t="s">
        <v>19644</v>
      </c>
      <c r="F261" s="252" t="s">
        <v>19960</v>
      </c>
      <c r="G261" s="250" t="s">
        <v>19727</v>
      </c>
      <c r="H261" s="275" t="s">
        <v>19781</v>
      </c>
      <c r="I261" s="126" t="s">
        <v>19835</v>
      </c>
    </row>
    <row r="262" spans="1:9" ht="55.2">
      <c r="A262" s="126" t="str">
        <f t="shared" si="12"/>
        <v>CheckerJ41</v>
      </c>
      <c r="B262" s="126" t="s">
        <v>1191</v>
      </c>
      <c r="C262" s="126" t="s">
        <v>18990</v>
      </c>
      <c r="D262" s="245" t="s">
        <v>19077</v>
      </c>
      <c r="E262" s="246" t="s">
        <v>19645</v>
      </c>
      <c r="F262" s="252" t="s">
        <v>19961</v>
      </c>
      <c r="G262" s="250" t="s">
        <v>19728</v>
      </c>
      <c r="H262" s="275" t="s">
        <v>19782</v>
      </c>
      <c r="I262" s="126" t="s">
        <v>19836</v>
      </c>
    </row>
    <row r="263" spans="1:9" ht="55.2">
      <c r="A263" s="126" t="str">
        <f t="shared" si="12"/>
        <v>CheckerJ42</v>
      </c>
      <c r="B263" s="126" t="s">
        <v>1191</v>
      </c>
      <c r="C263" s="126" t="s">
        <v>18991</v>
      </c>
      <c r="D263" s="245" t="s">
        <v>19078</v>
      </c>
      <c r="E263" s="246" t="s">
        <v>19646</v>
      </c>
      <c r="F263" s="252" t="s">
        <v>19962</v>
      </c>
      <c r="G263" s="250" t="s">
        <v>19729</v>
      </c>
      <c r="H263" s="275" t="s">
        <v>19783</v>
      </c>
      <c r="I263" s="126" t="s">
        <v>19837</v>
      </c>
    </row>
    <row r="264" spans="1:9" ht="55.2">
      <c r="A264" s="126" t="str">
        <f t="shared" si="12"/>
        <v>CheckerJ43</v>
      </c>
      <c r="B264" s="126" t="s">
        <v>1191</v>
      </c>
      <c r="C264" s="126" t="s">
        <v>18992</v>
      </c>
      <c r="D264" s="245" t="s">
        <v>19079</v>
      </c>
      <c r="E264" s="246" t="s">
        <v>19647</v>
      </c>
      <c r="F264" s="252" t="s">
        <v>19963</v>
      </c>
      <c r="G264" s="250" t="s">
        <v>19730</v>
      </c>
      <c r="H264" s="275" t="s">
        <v>19784</v>
      </c>
      <c r="I264" s="126" t="s">
        <v>19838</v>
      </c>
    </row>
    <row r="265" spans="1:9" ht="55.2">
      <c r="A265" s="126" t="str">
        <f t="shared" si="12"/>
        <v>CheckerJ44</v>
      </c>
      <c r="B265" s="126" t="s">
        <v>1191</v>
      </c>
      <c r="C265" s="126" t="s">
        <v>18993</v>
      </c>
      <c r="D265" s="245" t="s">
        <v>19080</v>
      </c>
      <c r="E265" s="246" t="s">
        <v>19648</v>
      </c>
      <c r="F265" s="252" t="s">
        <v>19964</v>
      </c>
      <c r="G265" s="250" t="s">
        <v>19731</v>
      </c>
      <c r="H265" s="275" t="s">
        <v>19785</v>
      </c>
      <c r="I265" s="126" t="s">
        <v>19839</v>
      </c>
    </row>
    <row r="266" spans="1:9">
      <c r="A266" s="126" t="str">
        <f t="shared" si="12"/>
        <v>CheckerJ45</v>
      </c>
      <c r="B266" s="126" t="s">
        <v>1191</v>
      </c>
      <c r="C266" s="126" t="s">
        <v>18994</v>
      </c>
      <c r="D266" s="245"/>
      <c r="E266" s="246"/>
      <c r="F266" s="252"/>
      <c r="G266" s="250"/>
      <c r="H266" s="275"/>
      <c r="I266" s="126"/>
    </row>
    <row r="267" spans="1:9">
      <c r="A267" s="126" t="str">
        <f t="shared" si="12"/>
        <v>CheckerJ46</v>
      </c>
      <c r="B267" s="126" t="s">
        <v>1191</v>
      </c>
      <c r="C267" s="126" t="s">
        <v>18995</v>
      </c>
      <c r="D267" s="245"/>
      <c r="E267" s="246"/>
      <c r="F267" s="252"/>
      <c r="G267" s="250"/>
      <c r="H267" s="275"/>
      <c r="I267" s="126"/>
    </row>
    <row r="268" spans="1:9">
      <c r="A268" s="126" t="str">
        <f t="shared" si="12"/>
        <v>CheckerJ47</v>
      </c>
      <c r="B268" s="126" t="s">
        <v>1191</v>
      </c>
      <c r="C268" s="126" t="s">
        <v>18996</v>
      </c>
      <c r="D268" s="245"/>
      <c r="E268" s="246"/>
      <c r="F268" s="252"/>
      <c r="G268" s="250"/>
      <c r="H268" s="275"/>
      <c r="I268" s="126"/>
    </row>
    <row r="269" spans="1:9">
      <c r="A269" s="126" t="str">
        <f t="shared" si="12"/>
        <v>CheckerJ48</v>
      </c>
      <c r="B269" s="126" t="s">
        <v>1191</v>
      </c>
      <c r="C269" s="126" t="s">
        <v>18997</v>
      </c>
      <c r="D269" s="245"/>
      <c r="E269" s="246"/>
      <c r="F269" s="252"/>
      <c r="G269" s="250"/>
      <c r="H269" s="275"/>
      <c r="I269" s="126"/>
    </row>
    <row r="270" spans="1:9" ht="55.2">
      <c r="A270" s="126" t="str">
        <f t="shared" si="12"/>
        <v>CheckerJ50</v>
      </c>
      <c r="B270" s="126" t="s">
        <v>1191</v>
      </c>
      <c r="C270" s="126" t="s">
        <v>18998</v>
      </c>
      <c r="D270" s="245" t="s">
        <v>19081</v>
      </c>
      <c r="E270" s="246" t="s">
        <v>19649</v>
      </c>
      <c r="F270" s="252" t="s">
        <v>19965</v>
      </c>
      <c r="G270" s="250" t="s">
        <v>19732</v>
      </c>
      <c r="H270" s="275" t="s">
        <v>19786</v>
      </c>
      <c r="I270" s="126" t="s">
        <v>19840</v>
      </c>
    </row>
    <row r="271" spans="1:9" ht="55.2">
      <c r="A271" s="126" t="str">
        <f t="shared" si="12"/>
        <v>CheckerJ51</v>
      </c>
      <c r="B271" s="126" t="s">
        <v>1191</v>
      </c>
      <c r="C271" s="126" t="s">
        <v>18999</v>
      </c>
      <c r="D271" s="245" t="s">
        <v>19082</v>
      </c>
      <c r="E271" s="246" t="s">
        <v>19650</v>
      </c>
      <c r="F271" s="252" t="s">
        <v>19966</v>
      </c>
      <c r="G271" s="250" t="s">
        <v>19733</v>
      </c>
      <c r="H271" s="275" t="s">
        <v>19787</v>
      </c>
      <c r="I271" s="126" t="s">
        <v>19841</v>
      </c>
    </row>
    <row r="272" spans="1:9" ht="55.2">
      <c r="A272" s="126" t="str">
        <f t="shared" si="12"/>
        <v>CheckerJ52</v>
      </c>
      <c r="B272" s="126" t="s">
        <v>1191</v>
      </c>
      <c r="C272" s="126" t="s">
        <v>19000</v>
      </c>
      <c r="D272" s="245" t="s">
        <v>19083</v>
      </c>
      <c r="E272" s="246" t="s">
        <v>19651</v>
      </c>
      <c r="F272" s="252" t="s">
        <v>19967</v>
      </c>
      <c r="G272" s="250" t="s">
        <v>19734</v>
      </c>
      <c r="H272" s="275" t="s">
        <v>19788</v>
      </c>
      <c r="I272" s="126" t="s">
        <v>19842</v>
      </c>
    </row>
    <row r="273" spans="1:9" ht="55.2">
      <c r="A273" s="126" t="str">
        <f t="shared" si="12"/>
        <v>CheckerJ53</v>
      </c>
      <c r="B273" s="126" t="s">
        <v>1191</v>
      </c>
      <c r="C273" s="126" t="s">
        <v>19001</v>
      </c>
      <c r="D273" s="245" t="s">
        <v>19084</v>
      </c>
      <c r="E273" s="246" t="s">
        <v>19652</v>
      </c>
      <c r="F273" s="252" t="s">
        <v>19968</v>
      </c>
      <c r="G273" s="250" t="s">
        <v>19735</v>
      </c>
      <c r="H273" s="275" t="s">
        <v>19789</v>
      </c>
      <c r="I273" s="126" t="s">
        <v>19843</v>
      </c>
    </row>
    <row r="274" spans="1:9" ht="55.2">
      <c r="A274" s="126" t="str">
        <f t="shared" si="12"/>
        <v>CheckerJ54</v>
      </c>
      <c r="B274" s="126" t="s">
        <v>1191</v>
      </c>
      <c r="C274" s="126" t="s">
        <v>19002</v>
      </c>
      <c r="D274" s="245" t="s">
        <v>19085</v>
      </c>
      <c r="E274" s="246" t="s">
        <v>19653</v>
      </c>
      <c r="F274" s="252" t="s">
        <v>19969</v>
      </c>
      <c r="G274" s="250" t="s">
        <v>19736</v>
      </c>
      <c r="H274" s="275" t="s">
        <v>19790</v>
      </c>
      <c r="I274" s="126" t="s">
        <v>19844</v>
      </c>
    </row>
    <row r="275" spans="1:9" ht="55.2">
      <c r="A275" s="126" t="str">
        <f t="shared" si="12"/>
        <v>CheckerJ55</v>
      </c>
      <c r="B275" s="126" t="s">
        <v>1191</v>
      </c>
      <c r="C275" s="126" t="s">
        <v>19003</v>
      </c>
      <c r="D275" s="245" t="s">
        <v>19086</v>
      </c>
      <c r="E275" s="246" t="s">
        <v>19654</v>
      </c>
      <c r="F275" s="252" t="s">
        <v>19970</v>
      </c>
      <c r="G275" s="250" t="s">
        <v>19737</v>
      </c>
      <c r="H275" s="275" t="s">
        <v>19791</v>
      </c>
      <c r="I275" s="126" t="s">
        <v>19845</v>
      </c>
    </row>
    <row r="276" spans="1:9">
      <c r="A276" s="126" t="str">
        <f t="shared" si="12"/>
        <v>CheckerJ56</v>
      </c>
      <c r="B276" s="126" t="s">
        <v>1191</v>
      </c>
      <c r="C276" s="126" t="s">
        <v>19004</v>
      </c>
      <c r="D276" s="245"/>
      <c r="E276" s="246"/>
      <c r="F276" s="252"/>
      <c r="G276" s="250"/>
      <c r="H276" s="275"/>
      <c r="I276" s="126"/>
    </row>
    <row r="277" spans="1:9">
      <c r="A277" s="126" t="str">
        <f t="shared" si="12"/>
        <v>CheckerJ57</v>
      </c>
      <c r="B277" s="126" t="s">
        <v>1191</v>
      </c>
      <c r="C277" s="126" t="s">
        <v>19005</v>
      </c>
      <c r="D277" s="245"/>
      <c r="E277" s="246"/>
      <c r="F277" s="252"/>
      <c r="G277" s="250"/>
      <c r="H277" s="275"/>
      <c r="I277" s="126"/>
    </row>
    <row r="278" spans="1:9">
      <c r="A278" s="126" t="str">
        <f t="shared" si="12"/>
        <v>CheckerJ58</v>
      </c>
      <c r="B278" s="126" t="s">
        <v>1191</v>
      </c>
      <c r="C278" s="126" t="s">
        <v>19006</v>
      </c>
      <c r="D278" s="245"/>
      <c r="E278" s="246"/>
      <c r="F278" s="252"/>
      <c r="G278" s="250"/>
      <c r="H278" s="275"/>
      <c r="I278" s="126"/>
    </row>
    <row r="279" spans="1:9">
      <c r="A279" s="126" t="str">
        <f t="shared" si="12"/>
        <v>CheckerJ59</v>
      </c>
      <c r="B279" s="126" t="s">
        <v>1191</v>
      </c>
      <c r="C279" s="126" t="s">
        <v>19007</v>
      </c>
      <c r="D279" s="245"/>
      <c r="E279" s="246"/>
      <c r="F279" s="252"/>
      <c r="G279" s="250"/>
      <c r="H279" s="275"/>
      <c r="I279" s="126"/>
    </row>
    <row r="280" spans="1:9" ht="41.4">
      <c r="A280" s="126" t="str">
        <f t="shared" ref="A280:A345" si="13">B280&amp;C280</f>
        <v>CheckerJ61</v>
      </c>
      <c r="B280" s="126" t="s">
        <v>1191</v>
      </c>
      <c r="C280" s="126" t="s">
        <v>19008</v>
      </c>
      <c r="D280" s="126" t="s">
        <v>19087</v>
      </c>
      <c r="E280" s="239" t="s">
        <v>19655</v>
      </c>
      <c r="F280" s="240" t="s">
        <v>19697</v>
      </c>
      <c r="G280" s="250" t="s">
        <v>19738</v>
      </c>
      <c r="H280" s="275" t="s">
        <v>19792</v>
      </c>
      <c r="I280" s="126" t="s">
        <v>19846</v>
      </c>
    </row>
    <row r="281" spans="1:9" ht="41.4">
      <c r="A281" s="126" t="str">
        <f t="shared" si="13"/>
        <v>CheckerJ62</v>
      </c>
      <c r="B281" s="126" t="s">
        <v>1191</v>
      </c>
      <c r="C281" s="126" t="s">
        <v>19009</v>
      </c>
      <c r="D281" s="126" t="s">
        <v>19088</v>
      </c>
      <c r="E281" s="239" t="s">
        <v>19656</v>
      </c>
      <c r="F281" s="240" t="s">
        <v>19698</v>
      </c>
      <c r="G281" s="250" t="s">
        <v>19739</v>
      </c>
      <c r="H281" s="275" t="s">
        <v>19793</v>
      </c>
      <c r="I281" s="126" t="s">
        <v>19847</v>
      </c>
    </row>
    <row r="282" spans="1:9" ht="41.4">
      <c r="A282" s="126" t="str">
        <f t="shared" si="13"/>
        <v>CheckerJ63</v>
      </c>
      <c r="B282" s="126" t="s">
        <v>1191</v>
      </c>
      <c r="C282" s="126" t="s">
        <v>19010</v>
      </c>
      <c r="D282" s="126" t="s">
        <v>19089</v>
      </c>
      <c r="E282" s="239" t="s">
        <v>19657</v>
      </c>
      <c r="F282" s="240" t="s">
        <v>19699</v>
      </c>
      <c r="G282" s="250" t="s">
        <v>19740</v>
      </c>
      <c r="H282" s="275" t="s">
        <v>19794</v>
      </c>
      <c r="I282" s="126" t="s">
        <v>19848</v>
      </c>
    </row>
    <row r="283" spans="1:9" ht="41.4">
      <c r="A283" s="126" t="str">
        <f t="shared" si="13"/>
        <v>CheckerJ64</v>
      </c>
      <c r="B283" s="126" t="s">
        <v>1191</v>
      </c>
      <c r="C283" s="126" t="s">
        <v>19011</v>
      </c>
      <c r="D283" s="126" t="s">
        <v>19090</v>
      </c>
      <c r="E283" s="239" t="s">
        <v>19658</v>
      </c>
      <c r="F283" s="240" t="s">
        <v>19700</v>
      </c>
      <c r="G283" s="250" t="s">
        <v>19741</v>
      </c>
      <c r="H283" s="275" t="s">
        <v>19795</v>
      </c>
      <c r="I283" s="126" t="s">
        <v>19849</v>
      </c>
    </row>
    <row r="284" spans="1:9" ht="41.4">
      <c r="A284" s="126" t="str">
        <f t="shared" si="13"/>
        <v>CheckerJ65</v>
      </c>
      <c r="B284" s="126" t="s">
        <v>1191</v>
      </c>
      <c r="C284" s="126" t="s">
        <v>19012</v>
      </c>
      <c r="D284" s="126" t="s">
        <v>19091</v>
      </c>
      <c r="E284" s="239" t="s">
        <v>19659</v>
      </c>
      <c r="F284" s="240" t="s">
        <v>19701</v>
      </c>
      <c r="G284" s="250" t="s">
        <v>19742</v>
      </c>
      <c r="H284" s="275" t="s">
        <v>19796</v>
      </c>
      <c r="I284" s="126" t="s">
        <v>19850</v>
      </c>
    </row>
    <row r="285" spans="1:9" ht="41.4">
      <c r="A285" s="126" t="str">
        <f t="shared" si="13"/>
        <v>CheckerJ66</v>
      </c>
      <c r="B285" s="126" t="s">
        <v>1191</v>
      </c>
      <c r="C285" s="126" t="s">
        <v>19013</v>
      </c>
      <c r="D285" s="126" t="s">
        <v>19092</v>
      </c>
      <c r="E285" s="239" t="s">
        <v>19660</v>
      </c>
      <c r="F285" s="240" t="s">
        <v>19702</v>
      </c>
      <c r="G285" s="250" t="s">
        <v>19743</v>
      </c>
      <c r="H285" s="275" t="s">
        <v>19797</v>
      </c>
      <c r="I285" s="126" t="s">
        <v>19851</v>
      </c>
    </row>
    <row r="286" spans="1:9">
      <c r="A286" s="126" t="str">
        <f t="shared" si="13"/>
        <v>CheckerJ67</v>
      </c>
      <c r="B286" s="126" t="s">
        <v>1191</v>
      </c>
      <c r="C286" s="126" t="s">
        <v>19014</v>
      </c>
      <c r="G286" s="310"/>
      <c r="H286" s="275"/>
      <c r="I286" s="126"/>
    </row>
    <row r="287" spans="1:9">
      <c r="A287" s="126" t="str">
        <f t="shared" si="13"/>
        <v>CheckerJ68</v>
      </c>
      <c r="B287" s="126" t="s">
        <v>1191</v>
      </c>
      <c r="C287" s="126" t="s">
        <v>19015</v>
      </c>
      <c r="G287" s="310"/>
      <c r="H287" s="275"/>
      <c r="I287" s="126"/>
    </row>
    <row r="288" spans="1:9">
      <c r="A288" s="126" t="str">
        <f t="shared" si="13"/>
        <v>CheckerJ69</v>
      </c>
      <c r="B288" s="126" t="s">
        <v>1191</v>
      </c>
      <c r="C288" s="126" t="s">
        <v>19016</v>
      </c>
      <c r="G288"/>
      <c r="H288" s="275"/>
      <c r="I288" s="126"/>
    </row>
    <row r="289" spans="1:9">
      <c r="A289" s="126" t="str">
        <f t="shared" si="13"/>
        <v>CheckerJ70</v>
      </c>
      <c r="B289" s="126" t="s">
        <v>1191</v>
      </c>
      <c r="C289" s="126" t="s">
        <v>19017</v>
      </c>
      <c r="G289"/>
      <c r="H289" s="275"/>
      <c r="I289" s="126"/>
    </row>
    <row r="290" spans="1:9" ht="55.2">
      <c r="A290" s="126" t="str">
        <f t="shared" si="13"/>
        <v>CheckerJ72</v>
      </c>
      <c r="B290" s="126" t="s">
        <v>1191</v>
      </c>
      <c r="C290" s="126" t="s">
        <v>19018</v>
      </c>
      <c r="D290" s="126" t="s">
        <v>19093</v>
      </c>
      <c r="E290" s="239" t="s">
        <v>19661</v>
      </c>
      <c r="F290" s="240" t="s">
        <v>19703</v>
      </c>
      <c r="G290" s="250" t="s">
        <v>19744</v>
      </c>
      <c r="H290" s="275" t="s">
        <v>19798</v>
      </c>
      <c r="I290" s="126" t="s">
        <v>19852</v>
      </c>
    </row>
    <row r="291" spans="1:9" ht="51" customHeight="1">
      <c r="A291" s="126" t="str">
        <f t="shared" si="13"/>
        <v>CheckerJ73</v>
      </c>
      <c r="B291" s="126" t="s">
        <v>1191</v>
      </c>
      <c r="C291" s="126" t="s">
        <v>19105</v>
      </c>
      <c r="D291" s="126" t="s">
        <v>19094</v>
      </c>
      <c r="E291" s="239" t="s">
        <v>19662</v>
      </c>
      <c r="F291" s="240" t="s">
        <v>19704</v>
      </c>
      <c r="G291" s="250" t="s">
        <v>19745</v>
      </c>
      <c r="H291" s="275" t="s">
        <v>19799</v>
      </c>
      <c r="I291" s="126" t="s">
        <v>19853</v>
      </c>
    </row>
    <row r="292" spans="1:9" ht="50.4" customHeight="1">
      <c r="A292" s="126" t="str">
        <f t="shared" si="13"/>
        <v>CheckerJ74</v>
      </c>
      <c r="B292" s="126" t="s">
        <v>1191</v>
      </c>
      <c r="C292" s="126" t="s">
        <v>19019</v>
      </c>
      <c r="D292" s="126" t="s">
        <v>19095</v>
      </c>
      <c r="E292" s="239" t="s">
        <v>19663</v>
      </c>
      <c r="F292" s="240" t="s">
        <v>19705</v>
      </c>
      <c r="G292" s="309" t="s">
        <v>19746</v>
      </c>
      <c r="H292" s="275" t="s">
        <v>19800</v>
      </c>
      <c r="I292" s="126" t="s">
        <v>19854</v>
      </c>
    </row>
    <row r="293" spans="1:9" ht="45.6" customHeight="1">
      <c r="A293" s="126" t="str">
        <f t="shared" si="13"/>
        <v>CheckerJ75</v>
      </c>
      <c r="B293" s="126" t="s">
        <v>1191</v>
      </c>
      <c r="C293" s="126" t="s">
        <v>19106</v>
      </c>
      <c r="D293" s="126" t="s">
        <v>19096</v>
      </c>
      <c r="E293" s="239" t="s">
        <v>19664</v>
      </c>
      <c r="F293" s="240" t="s">
        <v>19706</v>
      </c>
      <c r="G293" s="309" t="s">
        <v>19747</v>
      </c>
      <c r="H293" s="275" t="s">
        <v>19801</v>
      </c>
      <c r="I293" s="126" t="s">
        <v>19855</v>
      </c>
    </row>
    <row r="294" spans="1:9" ht="48.9" customHeight="1">
      <c r="A294" s="126" t="str">
        <f t="shared" si="13"/>
        <v>CheckerJ76</v>
      </c>
      <c r="B294" s="126" t="s">
        <v>1191</v>
      </c>
      <c r="C294" s="126" t="s">
        <v>19020</v>
      </c>
      <c r="D294" s="126" t="s">
        <v>19097</v>
      </c>
      <c r="E294" s="239" t="s">
        <v>19665</v>
      </c>
      <c r="F294" s="240" t="s">
        <v>19707</v>
      </c>
      <c r="G294" s="309" t="s">
        <v>19748</v>
      </c>
      <c r="H294" s="275" t="s">
        <v>19802</v>
      </c>
      <c r="I294" s="126" t="s">
        <v>19856</v>
      </c>
    </row>
    <row r="295" spans="1:9" ht="51.9" customHeight="1">
      <c r="A295" s="126" t="str">
        <f t="shared" si="13"/>
        <v>CheckerJ77</v>
      </c>
      <c r="B295" s="126" t="s">
        <v>1191</v>
      </c>
      <c r="C295" s="126" t="s">
        <v>19021</v>
      </c>
      <c r="D295" s="126" t="s">
        <v>19098</v>
      </c>
      <c r="E295" s="239" t="s">
        <v>19666</v>
      </c>
      <c r="F295" s="240" t="s">
        <v>19708</v>
      </c>
      <c r="G295" s="100" t="s">
        <v>19749</v>
      </c>
      <c r="H295" s="275" t="s">
        <v>19803</v>
      </c>
      <c r="I295" s="126" t="s">
        <v>19857</v>
      </c>
    </row>
    <row r="296" spans="1:9" ht="51.9" customHeight="1">
      <c r="A296" s="126" t="str">
        <f t="shared" si="13"/>
        <v>CheckerJ78</v>
      </c>
      <c r="B296" s="126" t="s">
        <v>1191</v>
      </c>
      <c r="C296" s="126" t="s">
        <v>19022</v>
      </c>
      <c r="G296"/>
      <c r="H296" s="275"/>
    </row>
    <row r="297" spans="1:9" ht="51.9" customHeight="1">
      <c r="A297" s="126" t="str">
        <f t="shared" si="13"/>
        <v>CheckerJ79</v>
      </c>
      <c r="B297" s="126" t="s">
        <v>1191</v>
      </c>
      <c r="C297" s="126" t="s">
        <v>19023</v>
      </c>
      <c r="G297"/>
      <c r="H297" s="275"/>
    </row>
    <row r="298" spans="1:9" ht="51.9" customHeight="1">
      <c r="A298" s="126" t="str">
        <f t="shared" si="13"/>
        <v>CheckerJ80</v>
      </c>
      <c r="B298" s="126" t="s">
        <v>1191</v>
      </c>
      <c r="C298" s="126" t="s">
        <v>19024</v>
      </c>
      <c r="G298"/>
      <c r="H298" s="275"/>
    </row>
    <row r="299" spans="1:9">
      <c r="A299" s="126" t="str">
        <f t="shared" si="13"/>
        <v>CheckerJ81</v>
      </c>
      <c r="B299" s="126" t="s">
        <v>1191</v>
      </c>
      <c r="C299" s="126" t="s">
        <v>19025</v>
      </c>
      <c r="G299"/>
      <c r="H299" s="275"/>
    </row>
    <row r="300" spans="1:9" ht="41.4">
      <c r="A300" s="126" t="str">
        <f t="shared" si="13"/>
        <v>CheckerJ83</v>
      </c>
      <c r="B300" s="126" t="s">
        <v>1191</v>
      </c>
      <c r="C300" s="126" t="s">
        <v>19026</v>
      </c>
      <c r="D300" s="245" t="s">
        <v>19099</v>
      </c>
      <c r="E300" s="246" t="s">
        <v>19667</v>
      </c>
      <c r="F300" s="252" t="s">
        <v>19971</v>
      </c>
      <c r="G300" s="257" t="s">
        <v>19750</v>
      </c>
      <c r="H300" s="275" t="s">
        <v>19804</v>
      </c>
      <c r="I300" s="126" t="s">
        <v>19858</v>
      </c>
    </row>
    <row r="301" spans="1:9" ht="41.4">
      <c r="A301" s="126" t="str">
        <f t="shared" si="13"/>
        <v>CheckerJ84</v>
      </c>
      <c r="B301" s="126" t="s">
        <v>1191</v>
      </c>
      <c r="C301" s="126" t="s">
        <v>19027</v>
      </c>
      <c r="D301" s="245" t="s">
        <v>19100</v>
      </c>
      <c r="E301" s="246" t="s">
        <v>19668</v>
      </c>
      <c r="F301" s="252" t="s">
        <v>19972</v>
      </c>
      <c r="G301" s="257" t="s">
        <v>19751</v>
      </c>
      <c r="H301" s="275" t="s">
        <v>19805</v>
      </c>
      <c r="I301" s="126" t="s">
        <v>19859</v>
      </c>
    </row>
    <row r="302" spans="1:9" ht="41.4">
      <c r="A302" s="126" t="str">
        <f t="shared" si="13"/>
        <v>CheckerJ85</v>
      </c>
      <c r="B302" s="126" t="s">
        <v>1191</v>
      </c>
      <c r="C302" s="126" t="s">
        <v>19028</v>
      </c>
      <c r="D302" s="245" t="s">
        <v>19101</v>
      </c>
      <c r="E302" s="246" t="s">
        <v>19669</v>
      </c>
      <c r="F302" s="252" t="s">
        <v>19973</v>
      </c>
      <c r="G302" s="257" t="s">
        <v>19752</v>
      </c>
      <c r="H302" s="275" t="s">
        <v>19806</v>
      </c>
      <c r="I302" s="126" t="s">
        <v>19860</v>
      </c>
    </row>
    <row r="303" spans="1:9" ht="41.4">
      <c r="A303" s="126" t="str">
        <f t="shared" si="13"/>
        <v>CheckerJ86</v>
      </c>
      <c r="B303" s="126" t="s">
        <v>1191</v>
      </c>
      <c r="C303" s="126" t="s">
        <v>19029</v>
      </c>
      <c r="D303" s="245" t="s">
        <v>19102</v>
      </c>
      <c r="E303" s="246" t="s">
        <v>19670</v>
      </c>
      <c r="F303" s="252" t="s">
        <v>19974</v>
      </c>
      <c r="G303" s="257" t="s">
        <v>19753</v>
      </c>
      <c r="H303" s="275" t="s">
        <v>19807</v>
      </c>
      <c r="I303" s="126" t="s">
        <v>19861</v>
      </c>
    </row>
    <row r="304" spans="1:9" ht="41.4">
      <c r="A304" s="126" t="str">
        <f t="shared" si="13"/>
        <v>CheckerJ87</v>
      </c>
      <c r="B304" s="126" t="s">
        <v>1191</v>
      </c>
      <c r="C304" s="126" t="s">
        <v>19030</v>
      </c>
      <c r="D304" s="245" t="s">
        <v>19103</v>
      </c>
      <c r="E304" s="246" t="s">
        <v>19671</v>
      </c>
      <c r="F304" s="252" t="s">
        <v>19975</v>
      </c>
      <c r="G304" s="257" t="s">
        <v>19754</v>
      </c>
      <c r="H304" s="275" t="s">
        <v>19808</v>
      </c>
      <c r="I304" s="126" t="s">
        <v>19862</v>
      </c>
    </row>
    <row r="305" spans="1:9" ht="41.4">
      <c r="A305" s="126" t="str">
        <f t="shared" si="13"/>
        <v>CheckerJ88</v>
      </c>
      <c r="B305" s="126" t="s">
        <v>1191</v>
      </c>
      <c r="C305" s="126" t="s">
        <v>19031</v>
      </c>
      <c r="D305" s="245" t="s">
        <v>19104</v>
      </c>
      <c r="E305" s="246" t="s">
        <v>19672</v>
      </c>
      <c r="F305" s="252" t="s">
        <v>19976</v>
      </c>
      <c r="G305" s="257" t="s">
        <v>19755</v>
      </c>
      <c r="H305" s="275" t="s">
        <v>19809</v>
      </c>
      <c r="I305" s="126" t="s">
        <v>19863</v>
      </c>
    </row>
    <row r="306" spans="1:9">
      <c r="A306" s="126" t="str">
        <f t="shared" si="13"/>
        <v>CheckerJ89</v>
      </c>
      <c r="B306" s="126" t="s">
        <v>1191</v>
      </c>
      <c r="C306" s="126" t="s">
        <v>19032</v>
      </c>
      <c r="D306" s="245"/>
      <c r="E306" s="246"/>
      <c r="F306" s="252"/>
      <c r="G306" s="257"/>
      <c r="H306" s="275"/>
      <c r="I306" s="126"/>
    </row>
    <row r="307" spans="1:9">
      <c r="A307" s="126" t="str">
        <f t="shared" si="13"/>
        <v>CheckerJ90</v>
      </c>
      <c r="B307" s="126" t="s">
        <v>1191</v>
      </c>
      <c r="C307" s="126" t="s">
        <v>19033</v>
      </c>
      <c r="D307" s="245"/>
      <c r="E307" s="246"/>
      <c r="F307" s="252"/>
      <c r="G307" s="257"/>
      <c r="H307" s="275"/>
      <c r="I307" s="126"/>
    </row>
    <row r="308" spans="1:9">
      <c r="A308" s="126" t="str">
        <f t="shared" si="13"/>
        <v>CheckerJ91</v>
      </c>
      <c r="B308" s="126" t="s">
        <v>1191</v>
      </c>
      <c r="C308" s="126" t="s">
        <v>19034</v>
      </c>
      <c r="D308" s="245"/>
      <c r="E308" s="246"/>
      <c r="F308" s="252"/>
      <c r="G308" s="257"/>
      <c r="H308" s="275"/>
      <c r="I308" s="126"/>
    </row>
    <row r="309" spans="1:9">
      <c r="A309" s="126" t="str">
        <f t="shared" si="13"/>
        <v>CheckerJ92</v>
      </c>
      <c r="B309" s="126" t="s">
        <v>1191</v>
      </c>
      <c r="C309" s="126" t="s">
        <v>19035</v>
      </c>
      <c r="D309" s="245"/>
      <c r="E309" s="246"/>
      <c r="F309" s="252"/>
      <c r="G309" s="257"/>
      <c r="H309" s="275"/>
      <c r="I309" s="126"/>
    </row>
    <row r="310" spans="1:9" ht="51.6" customHeight="1">
      <c r="A310" s="126" t="str">
        <f t="shared" si="13"/>
        <v>CheckerJ94</v>
      </c>
      <c r="B310" s="126" t="s">
        <v>1191</v>
      </c>
      <c r="C310" s="126" t="s">
        <v>19036</v>
      </c>
      <c r="D310" s="126" t="s">
        <v>19037</v>
      </c>
      <c r="E310" s="243" t="s">
        <v>19673</v>
      </c>
      <c r="F310" s="240" t="s">
        <v>19709</v>
      </c>
      <c r="G310" s="241" t="s">
        <v>19756</v>
      </c>
      <c r="H310" s="275" t="s">
        <v>19810</v>
      </c>
      <c r="I310" s="126" t="s">
        <v>19864</v>
      </c>
    </row>
    <row r="311" spans="1:9" ht="44.4" customHeight="1">
      <c r="A311" s="126" t="str">
        <f t="shared" si="13"/>
        <v>CheckerJ95</v>
      </c>
      <c r="B311" s="126" t="s">
        <v>1191</v>
      </c>
      <c r="C311" s="126" t="s">
        <v>19039</v>
      </c>
      <c r="D311" s="245" t="s">
        <v>19038</v>
      </c>
      <c r="E311" s="246" t="s">
        <v>19674</v>
      </c>
      <c r="F311" s="252" t="s">
        <v>19710</v>
      </c>
      <c r="G311" s="264" t="s">
        <v>19757</v>
      </c>
      <c r="H311" s="275" t="s">
        <v>19811</v>
      </c>
      <c r="I311" s="126" t="s">
        <v>19865</v>
      </c>
    </row>
    <row r="312" spans="1:9" ht="52.2">
      <c r="A312" s="126" t="str">
        <f t="shared" si="13"/>
        <v>CheckerJ96</v>
      </c>
      <c r="B312" s="126" t="s">
        <v>1191</v>
      </c>
      <c r="C312" s="126" t="s">
        <v>19040</v>
      </c>
      <c r="D312" s="243" t="s">
        <v>19675</v>
      </c>
      <c r="E312" s="243" t="s">
        <v>19675</v>
      </c>
      <c r="F312" s="265" t="s">
        <v>20146</v>
      </c>
      <c r="G312" s="247" t="s">
        <v>20147</v>
      </c>
      <c r="H312" s="275" t="s">
        <v>20148</v>
      </c>
      <c r="I312" s="126" t="s">
        <v>20149</v>
      </c>
    </row>
    <row r="313" spans="1:9" ht="69">
      <c r="A313" s="126" t="str">
        <f t="shared" si="13"/>
        <v>CheckerJ98</v>
      </c>
      <c r="B313" s="126" t="s">
        <v>1191</v>
      </c>
      <c r="C313" s="126" t="s">
        <v>19043</v>
      </c>
      <c r="D313" s="245" t="s">
        <v>19042</v>
      </c>
      <c r="E313" s="246" t="s">
        <v>19676</v>
      </c>
      <c r="F313" s="252" t="s">
        <v>19977</v>
      </c>
      <c r="G313" s="250" t="s">
        <v>19758</v>
      </c>
      <c r="H313" s="275" t="s">
        <v>19812</v>
      </c>
      <c r="I313" s="126" t="s">
        <v>19866</v>
      </c>
    </row>
    <row r="314" spans="1:9" ht="69">
      <c r="A314" s="126" t="str">
        <f t="shared" si="13"/>
        <v>CheckerJ99</v>
      </c>
      <c r="B314" s="126" t="s">
        <v>1191</v>
      </c>
      <c r="C314" s="126" t="s">
        <v>19045</v>
      </c>
      <c r="D314" s="245" t="s">
        <v>19044</v>
      </c>
      <c r="E314" s="246" t="s">
        <v>19677</v>
      </c>
      <c r="F314" s="252" t="s">
        <v>19978</v>
      </c>
      <c r="G314" s="250" t="s">
        <v>19759</v>
      </c>
      <c r="H314" s="275" t="s">
        <v>19813</v>
      </c>
      <c r="I314" s="126" t="s">
        <v>19867</v>
      </c>
    </row>
    <row r="315" spans="1:9" ht="69">
      <c r="A315" s="126" t="str">
        <f t="shared" si="13"/>
        <v>CheckerJ100</v>
      </c>
      <c r="B315" s="126" t="s">
        <v>1191</v>
      </c>
      <c r="C315" s="126" t="s">
        <v>19046</v>
      </c>
      <c r="D315" s="245" t="s">
        <v>19047</v>
      </c>
      <c r="E315" s="246" t="s">
        <v>19678</v>
      </c>
      <c r="F315" s="252" t="s">
        <v>19979</v>
      </c>
      <c r="G315" s="250" t="s">
        <v>19760</v>
      </c>
      <c r="H315" s="275" t="s">
        <v>19814</v>
      </c>
      <c r="I315" s="126" t="s">
        <v>19868</v>
      </c>
    </row>
    <row r="316" spans="1:9" ht="69">
      <c r="A316" s="126" t="str">
        <f t="shared" si="13"/>
        <v>CheckerJ101</v>
      </c>
      <c r="B316" s="126" t="s">
        <v>1191</v>
      </c>
      <c r="C316" s="126" t="s">
        <v>19048</v>
      </c>
      <c r="D316" s="245" t="s">
        <v>19049</v>
      </c>
      <c r="E316" s="246" t="s">
        <v>19679</v>
      </c>
      <c r="F316" s="252" t="s">
        <v>19980</v>
      </c>
      <c r="G316" s="250" t="s">
        <v>19761</v>
      </c>
      <c r="H316" s="275" t="s">
        <v>19815</v>
      </c>
      <c r="I316" s="126" t="s">
        <v>19869</v>
      </c>
    </row>
    <row r="317" spans="1:9" ht="69">
      <c r="A317" s="126" t="str">
        <f t="shared" si="13"/>
        <v>CheckerJ102</v>
      </c>
      <c r="B317" s="126" t="s">
        <v>1191</v>
      </c>
      <c r="C317" s="126" t="s">
        <v>19050</v>
      </c>
      <c r="D317" s="245" t="s">
        <v>19051</v>
      </c>
      <c r="E317" s="246" t="s">
        <v>19680</v>
      </c>
      <c r="F317" s="252" t="s">
        <v>19981</v>
      </c>
      <c r="G317" s="250" t="s">
        <v>19762</v>
      </c>
      <c r="H317" s="275" t="s">
        <v>19816</v>
      </c>
      <c r="I317" s="126" t="s">
        <v>19870</v>
      </c>
    </row>
    <row r="318" spans="1:9" ht="69">
      <c r="A318" s="126" t="str">
        <f t="shared" si="13"/>
        <v>CheckerJ103</v>
      </c>
      <c r="B318" s="126" t="s">
        <v>1191</v>
      </c>
      <c r="C318" s="126" t="s">
        <v>19052</v>
      </c>
      <c r="D318" s="245" t="s">
        <v>19053</v>
      </c>
      <c r="E318" s="246" t="s">
        <v>19681</v>
      </c>
      <c r="F318" s="252" t="s">
        <v>19982</v>
      </c>
      <c r="G318" s="250" t="s">
        <v>19763</v>
      </c>
      <c r="H318" s="275" t="s">
        <v>19817</v>
      </c>
      <c r="I318" s="126" t="s">
        <v>19871</v>
      </c>
    </row>
    <row r="319" spans="1:9">
      <c r="A319" s="126" t="str">
        <f t="shared" si="13"/>
        <v>CheckerJ104</v>
      </c>
      <c r="B319" s="126" t="s">
        <v>1191</v>
      </c>
      <c r="C319" s="126" t="s">
        <v>19054</v>
      </c>
      <c r="D319" s="245"/>
      <c r="E319" s="246"/>
      <c r="F319" s="252"/>
      <c r="G319" s="309"/>
      <c r="H319" s="275"/>
      <c r="I319" s="126"/>
    </row>
    <row r="320" spans="1:9">
      <c r="A320" s="126" t="str">
        <f t="shared" si="13"/>
        <v>CheckerJ105</v>
      </c>
      <c r="B320" s="126" t="s">
        <v>1191</v>
      </c>
      <c r="C320" s="126" t="s">
        <v>19055</v>
      </c>
      <c r="D320" s="245"/>
      <c r="E320" s="246"/>
      <c r="F320" s="252"/>
      <c r="G320" s="309"/>
      <c r="H320" s="275"/>
      <c r="I320" s="126"/>
    </row>
    <row r="321" spans="1:9">
      <c r="A321" s="126" t="str">
        <f t="shared" si="13"/>
        <v>CheckerJ106</v>
      </c>
      <c r="B321" s="126" t="s">
        <v>1191</v>
      </c>
      <c r="C321" s="126" t="s">
        <v>19056</v>
      </c>
      <c r="D321" s="245"/>
      <c r="E321" s="246"/>
      <c r="F321" s="252"/>
      <c r="G321" s="309"/>
      <c r="H321" s="275"/>
      <c r="I321" s="126"/>
    </row>
    <row r="322" spans="1:9">
      <c r="A322" s="126" t="str">
        <f t="shared" si="13"/>
        <v>CheckerJ107</v>
      </c>
      <c r="B322" s="126" t="s">
        <v>1191</v>
      </c>
      <c r="C322" s="126" t="s">
        <v>19057</v>
      </c>
      <c r="D322" s="245"/>
      <c r="E322" s="246"/>
      <c r="F322" s="252"/>
      <c r="G322" s="309"/>
      <c r="H322" s="275"/>
      <c r="I322" s="126"/>
    </row>
    <row r="323" spans="1:9" ht="42.75" customHeight="1">
      <c r="A323" s="126" t="str">
        <f t="shared" si="13"/>
        <v>CheckerJ108</v>
      </c>
      <c r="B323" s="126" t="s">
        <v>1191</v>
      </c>
      <c r="C323" s="126" t="s">
        <v>19059</v>
      </c>
      <c r="D323" s="245" t="s">
        <v>19058</v>
      </c>
      <c r="E323" s="246" t="s">
        <v>19682</v>
      </c>
      <c r="F323" s="252" t="s">
        <v>19711</v>
      </c>
      <c r="G323" s="264" t="s">
        <v>19764</v>
      </c>
      <c r="H323" s="275" t="s">
        <v>19818</v>
      </c>
      <c r="I323" s="126" t="s">
        <v>19872</v>
      </c>
    </row>
    <row r="324" spans="1:9" ht="41.4">
      <c r="A324" s="126" t="str">
        <f t="shared" si="13"/>
        <v>CheckerJ109</v>
      </c>
      <c r="B324" s="126" t="s">
        <v>1191</v>
      </c>
      <c r="C324" s="126" t="s">
        <v>19060</v>
      </c>
      <c r="D324" s="126" t="s">
        <v>19066</v>
      </c>
      <c r="E324" s="243" t="s">
        <v>19683</v>
      </c>
      <c r="F324" s="240" t="s">
        <v>19983</v>
      </c>
      <c r="G324" s="247" t="s">
        <v>19765</v>
      </c>
      <c r="H324" s="275" t="s">
        <v>19819</v>
      </c>
      <c r="I324" s="126" t="s">
        <v>19873</v>
      </c>
    </row>
    <row r="325" spans="1:9" ht="38.4" customHeight="1">
      <c r="A325" s="126" t="str">
        <f t="shared" si="13"/>
        <v>CheckerJ110</v>
      </c>
      <c r="B325" s="126" t="s">
        <v>1191</v>
      </c>
      <c r="C325" s="126" t="s">
        <v>19061</v>
      </c>
      <c r="D325" s="126" t="s">
        <v>19062</v>
      </c>
      <c r="E325" s="239" t="s">
        <v>19684</v>
      </c>
      <c r="F325" s="240" t="s">
        <v>19712</v>
      </c>
      <c r="G325" s="126" t="s">
        <v>19766</v>
      </c>
      <c r="H325" s="275" t="s">
        <v>19820</v>
      </c>
      <c r="I325" s="126" t="s">
        <v>19874</v>
      </c>
    </row>
    <row r="326" spans="1:9" ht="41.4">
      <c r="A326" s="126" t="str">
        <f t="shared" si="13"/>
        <v>CheckerJ111</v>
      </c>
      <c r="B326" s="126" t="s">
        <v>1191</v>
      </c>
      <c r="C326" s="126" t="s">
        <v>19041</v>
      </c>
      <c r="D326" s="126" t="s">
        <v>19063</v>
      </c>
      <c r="E326" s="239" t="s">
        <v>19685</v>
      </c>
      <c r="F326" s="240" t="s">
        <v>19713</v>
      </c>
      <c r="G326" s="126" t="s">
        <v>19767</v>
      </c>
      <c r="H326" s="275" t="s">
        <v>19821</v>
      </c>
      <c r="I326" s="126" t="s">
        <v>19875</v>
      </c>
    </row>
    <row r="327" spans="1:9" ht="55.2">
      <c r="A327" s="126" t="str">
        <f t="shared" si="13"/>
        <v>CheckerJ112</v>
      </c>
      <c r="B327" s="126" t="s">
        <v>1191</v>
      </c>
      <c r="C327" s="126" t="s">
        <v>19064</v>
      </c>
      <c r="D327" s="126" t="s">
        <v>19065</v>
      </c>
      <c r="E327" s="266" t="s">
        <v>19686</v>
      </c>
      <c r="F327" s="240" t="s">
        <v>1285</v>
      </c>
      <c r="G327" s="126" t="s">
        <v>1286</v>
      </c>
      <c r="H327" s="275" t="s">
        <v>1287</v>
      </c>
      <c r="I327" s="126" t="s">
        <v>18634</v>
      </c>
    </row>
    <row r="328" spans="1:9" ht="41.4">
      <c r="A328" s="126" t="str">
        <f t="shared" si="13"/>
        <v>CheckerJ114</v>
      </c>
      <c r="B328" s="126" t="s">
        <v>1191</v>
      </c>
      <c r="C328" s="126" t="s">
        <v>19068</v>
      </c>
      <c r="D328" s="126" t="s">
        <v>19067</v>
      </c>
      <c r="E328" s="347" t="s">
        <v>19687</v>
      </c>
      <c r="F328" s="240" t="s">
        <v>19984</v>
      </c>
      <c r="G328" s="126" t="s">
        <v>19688</v>
      </c>
      <c r="H328" s="275" t="s">
        <v>19689</v>
      </c>
      <c r="I328" s="126" t="s">
        <v>19690</v>
      </c>
    </row>
    <row r="329" spans="1:9" ht="41.4">
      <c r="A329" s="126" t="str">
        <f t="shared" si="13"/>
        <v>CheckerJ115</v>
      </c>
      <c r="B329" s="126" t="s">
        <v>1191</v>
      </c>
      <c r="C329" s="126" t="s">
        <v>19069</v>
      </c>
      <c r="D329" s="126" t="s">
        <v>19067</v>
      </c>
      <c r="E329" s="347" t="s">
        <v>19687</v>
      </c>
      <c r="F329" s="240" t="s">
        <v>19984</v>
      </c>
      <c r="G329" s="126" t="s">
        <v>19688</v>
      </c>
      <c r="H329" s="275" t="s">
        <v>19689</v>
      </c>
      <c r="I329" s="126" t="s">
        <v>19690</v>
      </c>
    </row>
    <row r="330" spans="1:9" ht="41.4">
      <c r="A330" s="126" t="str">
        <f t="shared" si="13"/>
        <v>CheckerJ116</v>
      </c>
      <c r="B330" s="126" t="s">
        <v>1191</v>
      </c>
      <c r="C330" s="126" t="s">
        <v>19070</v>
      </c>
      <c r="D330" s="126" t="s">
        <v>19067</v>
      </c>
      <c r="E330" s="347" t="s">
        <v>19687</v>
      </c>
      <c r="F330" s="240" t="s">
        <v>19984</v>
      </c>
      <c r="G330" s="126" t="s">
        <v>19688</v>
      </c>
      <c r="H330" s="275" t="s">
        <v>19689</v>
      </c>
      <c r="I330" s="126" t="s">
        <v>19690</v>
      </c>
    </row>
    <row r="331" spans="1:9" ht="41.4">
      <c r="A331" s="126" t="str">
        <f t="shared" si="13"/>
        <v>CheckerJ117</v>
      </c>
      <c r="B331" s="126" t="s">
        <v>1191</v>
      </c>
      <c r="C331" s="126" t="s">
        <v>19071</v>
      </c>
      <c r="D331" s="126" t="s">
        <v>19067</v>
      </c>
      <c r="E331" s="347" t="s">
        <v>19687</v>
      </c>
      <c r="F331" s="240" t="s">
        <v>19984</v>
      </c>
      <c r="G331" s="126" t="s">
        <v>19688</v>
      </c>
      <c r="H331" s="275" t="s">
        <v>19689</v>
      </c>
      <c r="I331" s="126" t="s">
        <v>19690</v>
      </c>
    </row>
    <row r="332" spans="1:9" ht="41.4">
      <c r="A332" s="126" t="str">
        <f t="shared" si="13"/>
        <v>CheckerJ118</v>
      </c>
      <c r="B332" s="126" t="s">
        <v>1191</v>
      </c>
      <c r="C332" s="126" t="s">
        <v>19072</v>
      </c>
      <c r="D332" s="126" t="s">
        <v>19067</v>
      </c>
      <c r="E332" s="347" t="s">
        <v>19687</v>
      </c>
      <c r="F332" s="240" t="s">
        <v>19984</v>
      </c>
      <c r="G332" s="126" t="s">
        <v>19688</v>
      </c>
      <c r="H332" s="275" t="s">
        <v>19689</v>
      </c>
      <c r="I332" s="126" t="s">
        <v>19690</v>
      </c>
    </row>
    <row r="333" spans="1:9" ht="41.4">
      <c r="A333" s="126" t="str">
        <f t="shared" si="13"/>
        <v>CheckerJ119</v>
      </c>
      <c r="B333" s="126" t="s">
        <v>1191</v>
      </c>
      <c r="C333" s="126" t="s">
        <v>19073</v>
      </c>
      <c r="D333" s="126" t="s">
        <v>19067</v>
      </c>
      <c r="E333" s="347" t="s">
        <v>19687</v>
      </c>
      <c r="F333" s="240" t="s">
        <v>19984</v>
      </c>
      <c r="G333" s="126" t="s">
        <v>19688</v>
      </c>
      <c r="H333" s="275" t="s">
        <v>19689</v>
      </c>
      <c r="I333" s="126" t="s">
        <v>19690</v>
      </c>
    </row>
    <row r="334" spans="1:9" ht="34.799999999999997">
      <c r="A334" s="126" t="str">
        <f t="shared" si="13"/>
        <v>Checker</v>
      </c>
      <c r="B334" s="126" t="s">
        <v>1191</v>
      </c>
      <c r="D334" s="126" t="s">
        <v>1288</v>
      </c>
      <c r="E334" s="243" t="s">
        <v>1289</v>
      </c>
      <c r="F334" s="240" t="s">
        <v>1290</v>
      </c>
      <c r="G334" s="247" t="s">
        <v>1291</v>
      </c>
      <c r="H334" s="275" t="s">
        <v>1292</v>
      </c>
      <c r="I334" s="126" t="s">
        <v>18636</v>
      </c>
    </row>
    <row r="335" spans="1:9">
      <c r="A335" s="126" t="str">
        <f t="shared" si="13"/>
        <v>Checker</v>
      </c>
      <c r="B335" s="126" t="s">
        <v>1191</v>
      </c>
      <c r="G335"/>
      <c r="H335" s="275"/>
      <c r="I335" s="188" t="s">
        <v>18635</v>
      </c>
    </row>
    <row r="336" spans="1:9">
      <c r="A336" s="126" t="str">
        <f t="shared" si="13"/>
        <v>Checker</v>
      </c>
      <c r="B336" s="126" t="s">
        <v>1191</v>
      </c>
      <c r="G336"/>
      <c r="H336" s="275"/>
    </row>
    <row r="337" spans="1:9" ht="60.9" customHeight="1">
      <c r="A337" s="126" t="str">
        <f t="shared" si="13"/>
        <v>Checker</v>
      </c>
      <c r="B337" s="126" t="s">
        <v>1191</v>
      </c>
      <c r="D337" s="126" t="s">
        <v>1293</v>
      </c>
      <c r="E337" s="243" t="s">
        <v>1294</v>
      </c>
      <c r="F337" s="240" t="s">
        <v>1295</v>
      </c>
      <c r="G337" s="247" t="s">
        <v>1296</v>
      </c>
      <c r="H337" s="275" t="s">
        <v>1297</v>
      </c>
      <c r="I337" s="126" t="s">
        <v>18637</v>
      </c>
    </row>
    <row r="338" spans="1:9" ht="41.4">
      <c r="A338" s="126" t="str">
        <f t="shared" si="13"/>
        <v>Product ListA1</v>
      </c>
      <c r="B338" s="126" t="s">
        <v>54</v>
      </c>
      <c r="C338" s="126" t="s">
        <v>358</v>
      </c>
      <c r="D338" s="144" t="s">
        <v>1298</v>
      </c>
      <c r="E338" s="267" t="s">
        <v>1299</v>
      </c>
      <c r="F338" s="268" t="s">
        <v>1300</v>
      </c>
      <c r="G338" s="269" t="s">
        <v>1301</v>
      </c>
      <c r="H338" s="275" t="s">
        <v>1302</v>
      </c>
      <c r="I338" s="290" t="s">
        <v>18640</v>
      </c>
    </row>
    <row r="339" spans="1:9">
      <c r="A339" s="126" t="str">
        <f t="shared" si="13"/>
        <v>Product ListB5</v>
      </c>
      <c r="B339" s="126" t="s">
        <v>54</v>
      </c>
      <c r="C339" s="126" t="s">
        <v>663</v>
      </c>
      <c r="D339" s="144" t="s">
        <v>20150</v>
      </c>
      <c r="E339" s="267" t="s">
        <v>19885</v>
      </c>
      <c r="F339" s="240" t="s">
        <v>19880</v>
      </c>
      <c r="G339" s="144" t="s">
        <v>20000</v>
      </c>
      <c r="H339" s="275" t="s">
        <v>19881</v>
      </c>
      <c r="I339" s="291" t="s">
        <v>19883</v>
      </c>
    </row>
    <row r="340" spans="1:9">
      <c r="A340" s="126" t="str">
        <f t="shared" si="13"/>
        <v>Product ListC5</v>
      </c>
      <c r="B340" s="126" t="s">
        <v>54</v>
      </c>
      <c r="C340" s="126" t="s">
        <v>777</v>
      </c>
      <c r="D340" s="144" t="s">
        <v>20151</v>
      </c>
      <c r="E340" s="267" t="s">
        <v>19886</v>
      </c>
      <c r="F340" s="240" t="s">
        <v>19994</v>
      </c>
      <c r="G340" s="144" t="s">
        <v>19985</v>
      </c>
      <c r="H340" s="275" t="s">
        <v>19882</v>
      </c>
      <c r="I340" s="291" t="s">
        <v>19884</v>
      </c>
    </row>
    <row r="341" spans="1:9">
      <c r="A341" s="126" t="str">
        <f t="shared" si="13"/>
        <v>Product ListD5</v>
      </c>
      <c r="B341" s="126" t="s">
        <v>54</v>
      </c>
      <c r="C341" s="126" t="s">
        <v>1303</v>
      </c>
      <c r="D341" s="188" t="s">
        <v>20152</v>
      </c>
      <c r="E341" s="267" t="s">
        <v>20125</v>
      </c>
      <c r="F341" s="240" t="s">
        <v>20128</v>
      </c>
      <c r="G341" s="144" t="s">
        <v>20129</v>
      </c>
      <c r="H341" s="275" t="s">
        <v>20131</v>
      </c>
      <c r="I341" s="291" t="s">
        <v>20133</v>
      </c>
    </row>
    <row r="342" spans="1:9">
      <c r="A342" s="126" t="str">
        <f t="shared" ref="A342:A343" si="14">B342&amp;C342</f>
        <v>Product ListE5</v>
      </c>
      <c r="B342" s="126" t="s">
        <v>54</v>
      </c>
      <c r="C342" s="126" t="s">
        <v>20109</v>
      </c>
      <c r="D342" s="188" t="s">
        <v>20153</v>
      </c>
      <c r="E342" s="267" t="s">
        <v>20126</v>
      </c>
      <c r="F342" s="240" t="s">
        <v>20127</v>
      </c>
      <c r="G342" s="144" t="s">
        <v>20130</v>
      </c>
      <c r="H342" s="275" t="s">
        <v>20132</v>
      </c>
      <c r="I342" s="291" t="s">
        <v>20134</v>
      </c>
    </row>
    <row r="343" spans="1:9">
      <c r="A343" s="126" t="str">
        <f t="shared" si="14"/>
        <v>Product ListF5</v>
      </c>
      <c r="B343" s="126" t="s">
        <v>54</v>
      </c>
      <c r="C343" s="126" t="s">
        <v>20110</v>
      </c>
      <c r="D343" s="144" t="s">
        <v>1040</v>
      </c>
      <c r="E343" s="267" t="s">
        <v>1213</v>
      </c>
      <c r="F343" s="240" t="s">
        <v>1042</v>
      </c>
      <c r="G343" s="144" t="s">
        <v>1043</v>
      </c>
      <c r="H343" s="275" t="s">
        <v>1044</v>
      </c>
      <c r="I343" s="291" t="s">
        <v>18590</v>
      </c>
    </row>
    <row r="344" spans="1:9">
      <c r="A344" s="126" t="str">
        <f t="shared" si="13"/>
        <v>GeneralCpy</v>
      </c>
      <c r="B344" s="126" t="s">
        <v>1304</v>
      </c>
      <c r="C344" s="126" t="s">
        <v>1305</v>
      </c>
      <c r="D344" s="126" t="s">
        <v>18681</v>
      </c>
      <c r="E344" s="239" t="s">
        <v>19876</v>
      </c>
      <c r="F344" s="240" t="s">
        <v>19877</v>
      </c>
      <c r="G344" s="126" t="s">
        <v>19878</v>
      </c>
      <c r="H344" s="275" t="s">
        <v>19879</v>
      </c>
      <c r="I344" s="126" t="s">
        <v>19176</v>
      </c>
    </row>
    <row r="345" spans="1:9">
      <c r="A345" s="126" t="str">
        <f t="shared" si="13"/>
        <v>General</v>
      </c>
      <c r="B345" s="126" t="s">
        <v>1304</v>
      </c>
      <c r="G345"/>
      <c r="H345" s="275"/>
    </row>
    <row r="346" spans="1:9">
      <c r="G346"/>
      <c r="H346" s="275"/>
    </row>
    <row r="347" spans="1:9" s="349" customFormat="1" ht="13.8">
      <c r="A347" s="346" t="str">
        <f t="shared" ref="A347:A362" si="15">B347&amp;C347</f>
        <v>Mine ListA4</v>
      </c>
      <c r="B347" s="346" t="s">
        <v>19109</v>
      </c>
      <c r="C347" s="346" t="s">
        <v>1062</v>
      </c>
      <c r="D347" s="346" t="s">
        <v>1063</v>
      </c>
      <c r="E347" s="347" t="s">
        <v>1064</v>
      </c>
      <c r="F347" s="346" t="s">
        <v>1064</v>
      </c>
      <c r="G347" s="346" t="s">
        <v>1065</v>
      </c>
      <c r="H347" s="346" t="s">
        <v>1066</v>
      </c>
      <c r="I347" s="348" t="s">
        <v>18595</v>
      </c>
    </row>
    <row r="348" spans="1:9" s="349" customFormat="1" ht="27.6">
      <c r="A348" s="346" t="str">
        <f t="shared" si="15"/>
        <v>Mine ListB4</v>
      </c>
      <c r="B348" s="346" t="s">
        <v>19109</v>
      </c>
      <c r="C348" s="346" t="s">
        <v>657</v>
      </c>
      <c r="D348" s="348" t="s">
        <v>19110</v>
      </c>
      <c r="E348" s="350" t="s">
        <v>19111</v>
      </c>
      <c r="F348" s="348" t="s">
        <v>19112</v>
      </c>
      <c r="G348" s="348" t="s">
        <v>19113</v>
      </c>
      <c r="H348" s="348" t="s">
        <v>19114</v>
      </c>
      <c r="I348" s="348" t="s">
        <v>19115</v>
      </c>
    </row>
    <row r="349" spans="1:9" s="349" customFormat="1" ht="13.8">
      <c r="A349" s="346" t="str">
        <f t="shared" si="15"/>
        <v>Mine ListC4</v>
      </c>
      <c r="B349" s="346" t="s">
        <v>19109</v>
      </c>
      <c r="C349" s="346" t="s">
        <v>771</v>
      </c>
      <c r="D349" s="348" t="s">
        <v>19116</v>
      </c>
      <c r="E349" s="347" t="s">
        <v>19117</v>
      </c>
      <c r="F349" s="346" t="s">
        <v>19118</v>
      </c>
      <c r="G349" s="346" t="s">
        <v>19119</v>
      </c>
      <c r="H349" s="346" t="s">
        <v>19120</v>
      </c>
    </row>
    <row r="350" spans="1:9" s="349" customFormat="1" ht="13.8">
      <c r="A350" s="346" t="str">
        <f t="shared" si="15"/>
        <v>Mine ListF4</v>
      </c>
      <c r="B350" s="346" t="s">
        <v>19109</v>
      </c>
      <c r="C350" s="346" t="s">
        <v>1092</v>
      </c>
      <c r="D350" s="346" t="s">
        <v>19121</v>
      </c>
      <c r="E350" s="349" t="s">
        <v>19122</v>
      </c>
      <c r="F350" s="349" t="s">
        <v>19123</v>
      </c>
      <c r="G350" s="346" t="s">
        <v>19124</v>
      </c>
      <c r="H350" s="351" t="s">
        <v>19125</v>
      </c>
      <c r="I350" s="346" t="s">
        <v>18606</v>
      </c>
    </row>
    <row r="351" spans="1:9" s="349" customFormat="1" ht="13.8">
      <c r="A351" s="346" t="str">
        <f t="shared" si="15"/>
        <v>Mine ListG4</v>
      </c>
      <c r="B351" s="346" t="s">
        <v>19109</v>
      </c>
      <c r="C351" s="346" t="s">
        <v>1098</v>
      </c>
      <c r="D351" s="346" t="s">
        <v>19126</v>
      </c>
      <c r="E351" s="347" t="s">
        <v>19127</v>
      </c>
      <c r="F351" s="346" t="s">
        <v>19128</v>
      </c>
      <c r="G351" s="346" t="s">
        <v>19129</v>
      </c>
      <c r="H351" s="346" t="s">
        <v>19130</v>
      </c>
      <c r="I351" s="346" t="s">
        <v>18602</v>
      </c>
    </row>
    <row r="352" spans="1:9" s="349" customFormat="1" ht="13.8">
      <c r="A352" s="346" t="str">
        <f t="shared" si="15"/>
        <v>Mine ListH4</v>
      </c>
      <c r="B352" s="346" t="s">
        <v>19109</v>
      </c>
      <c r="C352" s="346" t="s">
        <v>1104</v>
      </c>
      <c r="D352" s="346" t="s">
        <v>19131</v>
      </c>
      <c r="E352" s="347" t="s">
        <v>19132</v>
      </c>
      <c r="F352" s="346" t="s">
        <v>19133</v>
      </c>
      <c r="G352" s="346" t="s">
        <v>19134</v>
      </c>
      <c r="H352" s="346" t="s">
        <v>19135</v>
      </c>
      <c r="I352" s="346" t="s">
        <v>18603</v>
      </c>
    </row>
    <row r="353" spans="1:9" s="349" customFormat="1" ht="13.8">
      <c r="A353" s="346" t="str">
        <f t="shared" si="15"/>
        <v>Mine ListI4</v>
      </c>
      <c r="B353" s="346" t="s">
        <v>19109</v>
      </c>
      <c r="C353" s="346" t="s">
        <v>877</v>
      </c>
      <c r="D353" s="346" t="s">
        <v>19136</v>
      </c>
      <c r="E353" s="347" t="s">
        <v>19137</v>
      </c>
      <c r="F353" s="346" t="s">
        <v>19138</v>
      </c>
      <c r="G353" s="346" t="s">
        <v>19139</v>
      </c>
      <c r="H353" s="346" t="s">
        <v>19140</v>
      </c>
      <c r="I353" s="346" t="s">
        <v>18604</v>
      </c>
    </row>
    <row r="354" spans="1:9" s="349" customFormat="1" ht="32.25" customHeight="1">
      <c r="A354" s="346" t="str">
        <f t="shared" si="15"/>
        <v>Mine ListJ4</v>
      </c>
      <c r="B354" s="346" t="s">
        <v>19109</v>
      </c>
      <c r="C354" s="346" t="s">
        <v>1130</v>
      </c>
      <c r="D354" s="346" t="s">
        <v>19141</v>
      </c>
      <c r="E354" s="347" t="s">
        <v>19142</v>
      </c>
      <c r="F354" s="346" t="s">
        <v>19143</v>
      </c>
      <c r="G354" s="346" t="s">
        <v>19144</v>
      </c>
      <c r="H354" s="346" t="s">
        <v>19145</v>
      </c>
      <c r="I354" s="346" t="s">
        <v>18607</v>
      </c>
    </row>
    <row r="355" spans="1:9" s="349" customFormat="1" ht="32.25" customHeight="1">
      <c r="A355" s="346" t="str">
        <f t="shared" si="15"/>
        <v>Mine ListK4</v>
      </c>
      <c r="B355" s="346" t="s">
        <v>19109</v>
      </c>
      <c r="C355" s="346" t="s">
        <v>1131</v>
      </c>
      <c r="D355" s="346" t="s">
        <v>19146</v>
      </c>
      <c r="E355" s="347" t="s">
        <v>19147</v>
      </c>
      <c r="F355" s="346" t="s">
        <v>19148</v>
      </c>
      <c r="G355" s="346" t="s">
        <v>19149</v>
      </c>
      <c r="H355" s="346" t="s">
        <v>19150</v>
      </c>
      <c r="I355" s="346" t="s">
        <v>18608</v>
      </c>
    </row>
    <row r="356" spans="1:9" s="349" customFormat="1" ht="32.25" customHeight="1">
      <c r="A356" s="346" t="str">
        <f t="shared" si="15"/>
        <v>Mine ListL4</v>
      </c>
      <c r="B356" s="346" t="s">
        <v>19109</v>
      </c>
      <c r="C356" s="346" t="s">
        <v>1137</v>
      </c>
      <c r="D356" s="346" t="s">
        <v>1144</v>
      </c>
      <c r="E356" s="347" t="s">
        <v>1145</v>
      </c>
      <c r="F356" s="346" t="s">
        <v>1146</v>
      </c>
      <c r="G356" s="346" t="s">
        <v>19151</v>
      </c>
      <c r="H356" s="346" t="s">
        <v>19152</v>
      </c>
      <c r="I356" s="346" t="s">
        <v>19153</v>
      </c>
    </row>
    <row r="357" spans="1:9" s="349" customFormat="1" ht="32.25" customHeight="1">
      <c r="A357" s="346" t="str">
        <f t="shared" si="15"/>
        <v>Mine ListM4</v>
      </c>
      <c r="B357" s="346" t="s">
        <v>19109</v>
      </c>
      <c r="C357" s="346" t="s">
        <v>1143</v>
      </c>
      <c r="D357" s="346" t="s">
        <v>1040</v>
      </c>
      <c r="E357" s="347" t="s">
        <v>1041</v>
      </c>
      <c r="F357" s="346" t="s">
        <v>1042</v>
      </c>
      <c r="G357" s="346" t="s">
        <v>19154</v>
      </c>
      <c r="H357" s="346" t="s">
        <v>1044</v>
      </c>
      <c r="I357" s="352" t="s">
        <v>18590</v>
      </c>
    </row>
    <row r="358" spans="1:9" s="349" customFormat="1" ht="27.6">
      <c r="A358" s="346" t="str">
        <f t="shared" si="15"/>
        <v>Mine ListB2</v>
      </c>
      <c r="B358" s="346" t="s">
        <v>19109</v>
      </c>
      <c r="C358" s="346" t="s">
        <v>646</v>
      </c>
      <c r="D358" s="352" t="s">
        <v>1174</v>
      </c>
      <c r="E358" s="346" t="s">
        <v>19155</v>
      </c>
      <c r="F358" s="346" t="s">
        <v>19156</v>
      </c>
      <c r="G358" s="346" t="s">
        <v>19157</v>
      </c>
      <c r="H358" s="346" t="s">
        <v>19158</v>
      </c>
      <c r="I358" s="352" t="s">
        <v>18614</v>
      </c>
    </row>
    <row r="359" spans="1:9" s="349" customFormat="1" ht="151.80000000000001">
      <c r="A359" s="346" t="str">
        <f t="shared" si="15"/>
        <v>Mine ListB3</v>
      </c>
      <c r="B359" s="346" t="s">
        <v>19109</v>
      </c>
      <c r="C359" s="346" t="s">
        <v>651</v>
      </c>
      <c r="D359" s="352" t="s">
        <v>20118</v>
      </c>
      <c r="E359" s="346" t="s">
        <v>20120</v>
      </c>
      <c r="F359" s="348" t="s">
        <v>20121</v>
      </c>
      <c r="G359" s="348" t="s">
        <v>20122</v>
      </c>
      <c r="H359" s="348" t="s">
        <v>20123</v>
      </c>
      <c r="I359" s="352" t="s">
        <v>20124</v>
      </c>
    </row>
    <row r="360" spans="1:9" s="349" customFormat="1" ht="27.6">
      <c r="A360" s="346" t="str">
        <f t="shared" si="15"/>
        <v>Mine List</v>
      </c>
      <c r="B360" s="346" t="s">
        <v>19109</v>
      </c>
      <c r="C360" s="346"/>
      <c r="D360" s="352" t="s">
        <v>19159</v>
      </c>
      <c r="E360" s="346" t="s">
        <v>19160</v>
      </c>
      <c r="F360" s="348" t="s">
        <v>19161</v>
      </c>
      <c r="G360" s="348" t="s">
        <v>19162</v>
      </c>
      <c r="H360" s="348" t="s">
        <v>19163</v>
      </c>
      <c r="I360" s="346" t="s">
        <v>19164</v>
      </c>
    </row>
    <row r="361" spans="1:9" s="349" customFormat="1" ht="13.8">
      <c r="A361" s="346" t="str">
        <f t="shared" si="15"/>
        <v>Mine ListD4</v>
      </c>
      <c r="B361" s="346" t="s">
        <v>19109</v>
      </c>
      <c r="C361" s="346" t="s">
        <v>1081</v>
      </c>
      <c r="D361" s="346" t="s">
        <v>19165</v>
      </c>
      <c r="E361" s="346" t="s">
        <v>19166</v>
      </c>
      <c r="F361" s="346" t="s">
        <v>19167</v>
      </c>
      <c r="G361" s="346" t="s">
        <v>19168</v>
      </c>
      <c r="H361" s="346" t="s">
        <v>19169</v>
      </c>
      <c r="I361" s="346" t="s">
        <v>19170</v>
      </c>
    </row>
    <row r="362" spans="1:9" s="349" customFormat="1" ht="13.8">
      <c r="A362" s="346" t="str">
        <f t="shared" si="15"/>
        <v>Mine ListE4</v>
      </c>
      <c r="B362" s="346" t="s">
        <v>19109</v>
      </c>
      <c r="C362" s="346" t="s">
        <v>1086</v>
      </c>
      <c r="D362" s="346" t="s">
        <v>19171</v>
      </c>
      <c r="E362" s="346" t="s">
        <v>1094</v>
      </c>
      <c r="F362" s="346" t="s">
        <v>19172</v>
      </c>
      <c r="G362" s="346" t="s">
        <v>19173</v>
      </c>
      <c r="H362" s="346" t="s">
        <v>19174</v>
      </c>
      <c r="I362" s="346" t="s">
        <v>19175</v>
      </c>
    </row>
    <row r="363" spans="1:9">
      <c r="G363"/>
    </row>
    <row r="364" spans="1:9" ht="82.8">
      <c r="A364" s="126" t="s">
        <v>1040</v>
      </c>
      <c r="D364" s="126" t="s">
        <v>1306</v>
      </c>
      <c r="E364" s="239" t="s">
        <v>1307</v>
      </c>
      <c r="F364" s="240" t="s">
        <v>1308</v>
      </c>
      <c r="G364" s="126" t="s">
        <v>1309</v>
      </c>
      <c r="H364" s="143" t="s">
        <v>1310</v>
      </c>
    </row>
    <row r="365" spans="1:9">
      <c r="A365" s="126" t="s">
        <v>1040</v>
      </c>
      <c r="D365" s="126" t="s">
        <v>1311</v>
      </c>
      <c r="E365" s="239" t="s">
        <v>1312</v>
      </c>
      <c r="F365" s="240" t="s">
        <v>1313</v>
      </c>
      <c r="G365" s="127" t="s">
        <v>1314</v>
      </c>
      <c r="H365" s="275" t="s">
        <v>1315</v>
      </c>
    </row>
    <row r="366" spans="1:9">
      <c r="A366" s="126" t="s">
        <v>1040</v>
      </c>
      <c r="D366" s="126" t="s">
        <v>1316</v>
      </c>
      <c r="E366" s="239" t="s">
        <v>1317</v>
      </c>
      <c r="F366" s="240" t="s">
        <v>1318</v>
      </c>
      <c r="G366" s="127" t="s">
        <v>1319</v>
      </c>
      <c r="H366" s="275" t="s">
        <v>1320</v>
      </c>
    </row>
    <row r="367" spans="1:9" ht="69">
      <c r="A367" s="126" t="s">
        <v>1040</v>
      </c>
      <c r="D367" s="126" t="s">
        <v>1321</v>
      </c>
      <c r="E367" s="239" t="s">
        <v>1322</v>
      </c>
      <c r="F367" s="240" t="s">
        <v>1323</v>
      </c>
      <c r="G367" s="127" t="s">
        <v>1324</v>
      </c>
      <c r="H367" s="275" t="s">
        <v>1325</v>
      </c>
    </row>
    <row r="368" spans="1:9">
      <c r="A368" s="126" t="s">
        <v>1040</v>
      </c>
      <c r="D368" s="126" t="s">
        <v>1326</v>
      </c>
      <c r="E368" s="239" t="s">
        <v>1327</v>
      </c>
      <c r="F368" s="240" t="s">
        <v>1328</v>
      </c>
      <c r="G368" s="127" t="s">
        <v>1329</v>
      </c>
      <c r="H368" s="275" t="s">
        <v>1330</v>
      </c>
    </row>
    <row r="369" spans="1:8" ht="27.6">
      <c r="A369" s="126" t="s">
        <v>1040</v>
      </c>
      <c r="D369" s="126" t="s">
        <v>1331</v>
      </c>
      <c r="E369" s="239" t="s">
        <v>1332</v>
      </c>
      <c r="F369" s="240" t="s">
        <v>1333</v>
      </c>
      <c r="G369" s="127" t="s">
        <v>1334</v>
      </c>
      <c r="H369" s="275" t="s">
        <v>1335</v>
      </c>
    </row>
    <row r="370" spans="1:8" ht="55.2">
      <c r="A370" s="126" t="s">
        <v>1040</v>
      </c>
      <c r="D370" s="126" t="s">
        <v>1336</v>
      </c>
      <c r="E370" s="239" t="s">
        <v>1337</v>
      </c>
      <c r="F370" s="240" t="s">
        <v>1338</v>
      </c>
      <c r="G370" s="127" t="s">
        <v>1339</v>
      </c>
      <c r="H370" s="275"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F930354-061B-4439-9572-9E927A6490E4}"/>
    </customSheetView>
    <customSheetView guid="{C59130F4-2E03-5E48-94CE-6E4A0484DB9E}" showAutoFilter="1">
      <selection activeCell="E4" sqref="E4"/>
      <pageMargins left="0" right="0" top="0" bottom="0" header="0" footer="0"/>
      <pageSetup paperSize="9" orientation="portrait"/>
      <headerFooter alignWithMargins="0"/>
      <autoFilter ref="B1:N1" xr:uid="{CAD5914B-1F75-4583-84FD-87D4E0D3C80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1341</v>
      </c>
      <c r="B1" s="56" t="s">
        <v>1342</v>
      </c>
    </row>
    <row r="2" spans="1:2">
      <c r="A2" s="57" t="s">
        <v>1343</v>
      </c>
      <c r="B2" s="57" t="s">
        <v>1344</v>
      </c>
    </row>
    <row r="3" spans="1:2">
      <c r="A3" s="57" t="s">
        <v>1345</v>
      </c>
      <c r="B3" s="57" t="s">
        <v>1346</v>
      </c>
    </row>
    <row r="4" spans="1:2">
      <c r="A4" s="57" t="s">
        <v>1347</v>
      </c>
      <c r="B4" s="57" t="s">
        <v>1348</v>
      </c>
    </row>
    <row r="5" spans="1:2">
      <c r="A5" s="57" t="s">
        <v>1349</v>
      </c>
      <c r="B5" s="57" t="s">
        <v>1350</v>
      </c>
    </row>
    <row r="6" spans="1:2">
      <c r="A6" s="57" t="s">
        <v>1351</v>
      </c>
      <c r="B6" s="57" t="s">
        <v>1352</v>
      </c>
    </row>
    <row r="7" spans="1:2">
      <c r="A7" s="57" t="s">
        <v>1353</v>
      </c>
      <c r="B7" s="57" t="s">
        <v>1354</v>
      </c>
    </row>
    <row r="8" spans="1:2">
      <c r="A8" s="57" t="s">
        <v>1355</v>
      </c>
      <c r="B8" s="57" t="s">
        <v>1356</v>
      </c>
    </row>
    <row r="9" spans="1:2">
      <c r="A9" s="57" t="s">
        <v>1357</v>
      </c>
      <c r="B9" s="57" t="s">
        <v>1358</v>
      </c>
    </row>
    <row r="10" spans="1:2">
      <c r="A10" s="57" t="s">
        <v>1359</v>
      </c>
      <c r="B10" s="57" t="s">
        <v>1360</v>
      </c>
    </row>
    <row r="11" spans="1:2">
      <c r="A11" s="57" t="s">
        <v>1361</v>
      </c>
      <c r="B11" s="57" t="s">
        <v>1362</v>
      </c>
    </row>
    <row r="12" spans="1:2">
      <c r="A12" s="57" t="s">
        <v>1363</v>
      </c>
      <c r="B12" s="57" t="s">
        <v>1364</v>
      </c>
    </row>
    <row r="13" spans="1:2">
      <c r="A13" s="57" t="s">
        <v>1365</v>
      </c>
      <c r="B13" s="57" t="s">
        <v>1366</v>
      </c>
    </row>
    <row r="14" spans="1:2">
      <c r="A14" s="57" t="s">
        <v>1367</v>
      </c>
      <c r="B14" s="57" t="s">
        <v>1368</v>
      </c>
    </row>
    <row r="15" spans="1:2">
      <c r="A15" s="57" t="s">
        <v>1369</v>
      </c>
      <c r="B15" s="57" t="s">
        <v>212</v>
      </c>
    </row>
    <row r="16" spans="1:2">
      <c r="A16" s="57" t="s">
        <v>1370</v>
      </c>
      <c r="B16" s="57" t="s">
        <v>1371</v>
      </c>
    </row>
    <row r="17" spans="1:2">
      <c r="A17" s="57" t="s">
        <v>1372</v>
      </c>
      <c r="B17" s="57" t="s">
        <v>1373</v>
      </c>
    </row>
    <row r="18" spans="1:2">
      <c r="A18" s="57" t="s">
        <v>1374</v>
      </c>
      <c r="B18" s="57" t="s">
        <v>1375</v>
      </c>
    </row>
    <row r="19" spans="1:2">
      <c r="A19" s="57" t="s">
        <v>1376</v>
      </c>
      <c r="B19" s="57" t="s">
        <v>1377</v>
      </c>
    </row>
    <row r="20" spans="1:2">
      <c r="A20" s="57" t="s">
        <v>1378</v>
      </c>
      <c r="B20" s="57" t="s">
        <v>1379</v>
      </c>
    </row>
    <row r="21" spans="1:2">
      <c r="A21" s="57" t="s">
        <v>1380</v>
      </c>
      <c r="B21" s="57" t="s">
        <v>1381</v>
      </c>
    </row>
    <row r="22" spans="1:2">
      <c r="A22" s="57" t="s">
        <v>1382</v>
      </c>
      <c r="B22" s="57" t="s">
        <v>1383</v>
      </c>
    </row>
    <row r="23" spans="1:2">
      <c r="A23" s="57" t="s">
        <v>1384</v>
      </c>
      <c r="B23" s="57" t="s">
        <v>270</v>
      </c>
    </row>
    <row r="24" spans="1:2">
      <c r="A24" s="57" t="s">
        <v>1385</v>
      </c>
      <c r="B24" s="57" t="s">
        <v>1386</v>
      </c>
    </row>
    <row r="25" spans="1:2">
      <c r="A25" s="57" t="s">
        <v>1387</v>
      </c>
      <c r="B25" s="57" t="s">
        <v>1388</v>
      </c>
    </row>
    <row r="26" spans="1:2">
      <c r="A26" s="57" t="s">
        <v>1389</v>
      </c>
      <c r="B26" s="57" t="s">
        <v>1390</v>
      </c>
    </row>
    <row r="27" spans="1:2">
      <c r="A27" s="57" t="s">
        <v>1391</v>
      </c>
      <c r="B27" s="57" t="s">
        <v>1392</v>
      </c>
    </row>
    <row r="28" spans="1:2">
      <c r="A28" s="57" t="s">
        <v>1393</v>
      </c>
      <c r="B28" s="57" t="s">
        <v>1394</v>
      </c>
    </row>
    <row r="29" spans="1:2">
      <c r="A29" s="57" t="s">
        <v>1395</v>
      </c>
      <c r="B29" s="57" t="s">
        <v>1396</v>
      </c>
    </row>
    <row r="30" spans="1:2">
      <c r="A30" s="57" t="s">
        <v>1397</v>
      </c>
      <c r="B30" s="57" t="s">
        <v>1398</v>
      </c>
    </row>
    <row r="31" spans="1:2">
      <c r="A31" s="57" t="s">
        <v>1399</v>
      </c>
      <c r="B31" s="57" t="s">
        <v>1400</v>
      </c>
    </row>
    <row r="32" spans="1:2">
      <c r="A32" s="57" t="s">
        <v>1401</v>
      </c>
      <c r="B32" s="57" t="s">
        <v>1402</v>
      </c>
    </row>
    <row r="33" spans="1:2">
      <c r="A33" s="57" t="s">
        <v>1403</v>
      </c>
      <c r="B33" s="57" t="s">
        <v>342</v>
      </c>
    </row>
    <row r="34" spans="1:2">
      <c r="A34" s="57" t="s">
        <v>1404</v>
      </c>
      <c r="B34" s="57" t="s">
        <v>1405</v>
      </c>
    </row>
    <row r="35" spans="1:2">
      <c r="A35" s="57" t="s">
        <v>1406</v>
      </c>
      <c r="B35" s="57" t="s">
        <v>1407</v>
      </c>
    </row>
    <row r="36" spans="1:2">
      <c r="A36" s="57" t="s">
        <v>1408</v>
      </c>
      <c r="B36" s="57" t="s">
        <v>1409</v>
      </c>
    </row>
    <row r="37" spans="1:2">
      <c r="A37" s="57" t="s">
        <v>1410</v>
      </c>
      <c r="B37" s="57" t="s">
        <v>1411</v>
      </c>
    </row>
    <row r="38" spans="1:2">
      <c r="A38" s="57" t="s">
        <v>1412</v>
      </c>
      <c r="B38" s="57" t="s">
        <v>1413</v>
      </c>
    </row>
    <row r="39" spans="1:2">
      <c r="A39" s="57" t="s">
        <v>1414</v>
      </c>
      <c r="B39" s="57" t="s">
        <v>1415</v>
      </c>
    </row>
    <row r="40" spans="1:2">
      <c r="A40" s="57" t="s">
        <v>1416</v>
      </c>
      <c r="B40" s="57" t="s">
        <v>1417</v>
      </c>
    </row>
    <row r="41" spans="1:2">
      <c r="A41" s="57" t="s">
        <v>1418</v>
      </c>
      <c r="B41" s="57" t="s">
        <v>1419</v>
      </c>
    </row>
    <row r="42" spans="1:2">
      <c r="A42" s="57" t="s">
        <v>1420</v>
      </c>
      <c r="B42" s="57" t="s">
        <v>95</v>
      </c>
    </row>
    <row r="43" spans="1:2">
      <c r="A43" s="57" t="s">
        <v>1421</v>
      </c>
      <c r="B43" s="57" t="s">
        <v>1422</v>
      </c>
    </row>
    <row r="44" spans="1:2">
      <c r="A44" s="57" t="s">
        <v>1423</v>
      </c>
      <c r="B44" s="57" t="s">
        <v>1424</v>
      </c>
    </row>
    <row r="45" spans="1:2">
      <c r="A45" s="57" t="s">
        <v>1425</v>
      </c>
      <c r="B45" s="57" t="s">
        <v>1426</v>
      </c>
    </row>
    <row r="46" spans="1:2">
      <c r="A46" s="57" t="s">
        <v>1427</v>
      </c>
      <c r="B46" s="57" t="s">
        <v>1428</v>
      </c>
    </row>
    <row r="47" spans="1:2">
      <c r="A47" s="57" t="s">
        <v>1429</v>
      </c>
      <c r="B47" s="57" t="s">
        <v>65</v>
      </c>
    </row>
    <row r="48" spans="1:2">
      <c r="A48" s="57" t="s">
        <v>1430</v>
      </c>
      <c r="B48" s="57" t="s">
        <v>1431</v>
      </c>
    </row>
    <row r="49" spans="1:2">
      <c r="A49" s="57" t="s">
        <v>1432</v>
      </c>
      <c r="B49" s="57" t="s">
        <v>1433</v>
      </c>
    </row>
    <row r="50" spans="1:2">
      <c r="A50" s="57" t="s">
        <v>1434</v>
      </c>
      <c r="B50" s="57" t="s">
        <v>1435</v>
      </c>
    </row>
    <row r="51" spans="1:2">
      <c r="A51" s="57" t="s">
        <v>1436</v>
      </c>
      <c r="B51" s="57" t="s">
        <v>1437</v>
      </c>
    </row>
    <row r="52" spans="1:2">
      <c r="A52" s="57" t="s">
        <v>1438</v>
      </c>
      <c r="B52" s="57" t="s">
        <v>1439</v>
      </c>
    </row>
    <row r="53" spans="1:2">
      <c r="A53" s="57" t="s">
        <v>1440</v>
      </c>
      <c r="B53" s="57" t="s">
        <v>60</v>
      </c>
    </row>
    <row r="54" spans="1:2">
      <c r="A54" s="57" t="s">
        <v>1441</v>
      </c>
      <c r="B54" s="57" t="s">
        <v>1442</v>
      </c>
    </row>
    <row r="55" spans="1:2">
      <c r="A55" s="57" t="s">
        <v>1443</v>
      </c>
      <c r="B55" s="57" t="s">
        <v>1444</v>
      </c>
    </row>
    <row r="56" spans="1:2">
      <c r="A56" s="57" t="s">
        <v>1445</v>
      </c>
      <c r="B56" s="57" t="s">
        <v>1446</v>
      </c>
    </row>
    <row r="57" spans="1:2">
      <c r="A57" s="57" t="s">
        <v>1447</v>
      </c>
      <c r="B57" s="57" t="s">
        <v>1448</v>
      </c>
    </row>
    <row r="58" spans="1:2">
      <c r="A58" s="57" t="s">
        <v>1449</v>
      </c>
      <c r="B58" s="57" t="s">
        <v>1450</v>
      </c>
    </row>
    <row r="59" spans="1:2">
      <c r="A59" s="57" t="s">
        <v>1451</v>
      </c>
      <c r="B59" s="57" t="s">
        <v>1452</v>
      </c>
    </row>
    <row r="60" spans="1:2">
      <c r="A60" s="57" t="s">
        <v>1453</v>
      </c>
      <c r="B60" s="57" t="s">
        <v>1454</v>
      </c>
    </row>
    <row r="61" spans="1:2">
      <c r="A61" s="57" t="s">
        <v>1455</v>
      </c>
      <c r="B61" s="57" t="s">
        <v>1456</v>
      </c>
    </row>
    <row r="62" spans="1:2">
      <c r="A62" s="57" t="s">
        <v>1457</v>
      </c>
      <c r="B62" s="57" t="s">
        <v>1458</v>
      </c>
    </row>
    <row r="63" spans="1:2">
      <c r="A63" s="57" t="s">
        <v>1459</v>
      </c>
      <c r="B63" s="57" t="s">
        <v>1460</v>
      </c>
    </row>
    <row r="64" spans="1:2">
      <c r="A64" s="57" t="s">
        <v>1461</v>
      </c>
      <c r="B64" s="57" t="s">
        <v>1462</v>
      </c>
    </row>
    <row r="65" spans="1:2">
      <c r="A65" s="57" t="s">
        <v>1463</v>
      </c>
      <c r="B65" s="57" t="s">
        <v>1464</v>
      </c>
    </row>
    <row r="66" spans="1:2">
      <c r="A66" s="57" t="s">
        <v>1465</v>
      </c>
      <c r="B66" s="57" t="s">
        <v>1466</v>
      </c>
    </row>
    <row r="67" spans="1:2">
      <c r="A67" s="57" t="s">
        <v>1467</v>
      </c>
      <c r="B67" s="57" t="s">
        <v>1468</v>
      </c>
    </row>
    <row r="68" spans="1:2">
      <c r="A68" s="57" t="s">
        <v>1469</v>
      </c>
      <c r="B68" s="57" t="s">
        <v>1470</v>
      </c>
    </row>
    <row r="69" spans="1:2">
      <c r="A69" s="57" t="s">
        <v>1471</v>
      </c>
      <c r="B69" s="57" t="s">
        <v>1472</v>
      </c>
    </row>
    <row r="70" spans="1:2">
      <c r="A70" s="57" t="s">
        <v>1473</v>
      </c>
      <c r="B70" s="57" t="s">
        <v>1474</v>
      </c>
    </row>
    <row r="71" spans="1:2">
      <c r="A71" s="57" t="s">
        <v>1475</v>
      </c>
      <c r="B71" s="57" t="s">
        <v>1476</v>
      </c>
    </row>
    <row r="72" spans="1:2">
      <c r="A72" s="57" t="s">
        <v>1477</v>
      </c>
      <c r="B72" s="57" t="s">
        <v>1478</v>
      </c>
    </row>
    <row r="73" spans="1:2">
      <c r="A73" s="57" t="s">
        <v>1479</v>
      </c>
      <c r="B73" s="57" t="s">
        <v>1480</v>
      </c>
    </row>
    <row r="74" spans="1:2">
      <c r="A74" s="57" t="s">
        <v>1481</v>
      </c>
      <c r="B74" s="57" t="s">
        <v>1482</v>
      </c>
    </row>
    <row r="75" spans="1:2">
      <c r="A75" s="57" t="s">
        <v>1483</v>
      </c>
      <c r="B75" s="57" t="s">
        <v>1484</v>
      </c>
    </row>
    <row r="76" spans="1:2">
      <c r="A76" s="57" t="s">
        <v>1485</v>
      </c>
      <c r="B76" s="57" t="s">
        <v>1486</v>
      </c>
    </row>
    <row r="77" spans="1:2">
      <c r="A77" s="57" t="s">
        <v>1487</v>
      </c>
      <c r="B77" s="57" t="s">
        <v>101</v>
      </c>
    </row>
    <row r="78" spans="1:2">
      <c r="A78" s="57" t="s">
        <v>1488</v>
      </c>
      <c r="B78" s="57" t="s">
        <v>1489</v>
      </c>
    </row>
    <row r="79" spans="1:2">
      <c r="A79" s="57" t="s">
        <v>1490</v>
      </c>
      <c r="B79" s="57" t="s">
        <v>1491</v>
      </c>
    </row>
    <row r="80" spans="1:2">
      <c r="A80" s="57" t="s">
        <v>1492</v>
      </c>
      <c r="B80" s="57" t="s">
        <v>1493</v>
      </c>
    </row>
    <row r="81" spans="1:2">
      <c r="A81" s="57" t="s">
        <v>1494</v>
      </c>
      <c r="B81" s="57" t="s">
        <v>1495</v>
      </c>
    </row>
    <row r="82" spans="1:2">
      <c r="A82" s="57" t="s">
        <v>1496</v>
      </c>
      <c r="B82" s="57" t="s">
        <v>1497</v>
      </c>
    </row>
    <row r="83" spans="1:2">
      <c r="A83" s="57" t="s">
        <v>1498</v>
      </c>
      <c r="B83" s="57" t="s">
        <v>1499</v>
      </c>
    </row>
    <row r="84" spans="1:2">
      <c r="A84" s="57" t="s">
        <v>1500</v>
      </c>
      <c r="B84" s="57" t="s">
        <v>1501</v>
      </c>
    </row>
    <row r="85" spans="1:2">
      <c r="A85" s="57" t="s">
        <v>1502</v>
      </c>
      <c r="B85" s="57" t="s">
        <v>1503</v>
      </c>
    </row>
    <row r="86" spans="1:2">
      <c r="A86" s="57" t="s">
        <v>1504</v>
      </c>
      <c r="B86" s="57" t="s">
        <v>1505</v>
      </c>
    </row>
    <row r="87" spans="1:2">
      <c r="A87" s="57" t="s">
        <v>1506</v>
      </c>
      <c r="B87" s="57" t="s">
        <v>1507</v>
      </c>
    </row>
    <row r="88" spans="1:2">
      <c r="A88" s="57" t="s">
        <v>1508</v>
      </c>
      <c r="B88" s="57" t="s">
        <v>1509</v>
      </c>
    </row>
    <row r="89" spans="1:2">
      <c r="A89" s="57" t="s">
        <v>1510</v>
      </c>
      <c r="B89" s="57" t="s">
        <v>1511</v>
      </c>
    </row>
    <row r="90" spans="1:2">
      <c r="A90" s="57" t="s">
        <v>1512</v>
      </c>
      <c r="B90" s="57" t="s">
        <v>1513</v>
      </c>
    </row>
    <row r="91" spans="1:2">
      <c r="A91" s="57" t="s">
        <v>1514</v>
      </c>
      <c r="B91" s="57" t="s">
        <v>1515</v>
      </c>
    </row>
    <row r="92" spans="1:2">
      <c r="A92" s="57" t="s">
        <v>1516</v>
      </c>
      <c r="B92" s="57" t="s">
        <v>1517</v>
      </c>
    </row>
    <row r="93" spans="1:2">
      <c r="A93" s="57" t="s">
        <v>1518</v>
      </c>
      <c r="B93" s="57" t="s">
        <v>1519</v>
      </c>
    </row>
    <row r="94" spans="1:2">
      <c r="A94" s="57" t="s">
        <v>1520</v>
      </c>
      <c r="B94" s="57" t="s">
        <v>1521</v>
      </c>
    </row>
    <row r="95" spans="1:2">
      <c r="A95" s="57" t="s">
        <v>1522</v>
      </c>
      <c r="B95" s="57" t="s">
        <v>1523</v>
      </c>
    </row>
    <row r="96" spans="1:2">
      <c r="A96" s="57" t="s">
        <v>1524</v>
      </c>
      <c r="B96" s="57" t="s">
        <v>1525</v>
      </c>
    </row>
    <row r="97" spans="1:2">
      <c r="A97" s="57" t="s">
        <v>1526</v>
      </c>
      <c r="B97" s="57" t="s">
        <v>1527</v>
      </c>
    </row>
    <row r="98" spans="1:2">
      <c r="A98" s="57" t="s">
        <v>1528</v>
      </c>
      <c r="B98" s="57" t="s">
        <v>1529</v>
      </c>
    </row>
    <row r="99" spans="1:2">
      <c r="A99" s="57" t="s">
        <v>1530</v>
      </c>
      <c r="B99" s="57" t="s">
        <v>1531</v>
      </c>
    </row>
    <row r="100" spans="1:2">
      <c r="A100" s="57" t="s">
        <v>1532</v>
      </c>
      <c r="B100" s="57" t="s">
        <v>1533</v>
      </c>
    </row>
    <row r="101" spans="1:2">
      <c r="A101" s="57" t="s">
        <v>1534</v>
      </c>
      <c r="B101" s="57" t="s">
        <v>1535</v>
      </c>
    </row>
    <row r="102" spans="1:2">
      <c r="A102" s="57" t="s">
        <v>1536</v>
      </c>
      <c r="B102" s="57" t="s">
        <v>1537</v>
      </c>
    </row>
    <row r="103" spans="1:2">
      <c r="A103" s="57" t="s">
        <v>1538</v>
      </c>
      <c r="B103" s="57" t="s">
        <v>1539</v>
      </c>
    </row>
    <row r="104" spans="1:2">
      <c r="A104" s="57" t="s">
        <v>1540</v>
      </c>
      <c r="B104" s="57" t="s">
        <v>1541</v>
      </c>
    </row>
    <row r="105" spans="1:2">
      <c r="A105" s="57" t="s">
        <v>1542</v>
      </c>
      <c r="B105" s="57" t="s">
        <v>305</v>
      </c>
    </row>
    <row r="106" spans="1:2">
      <c r="A106" s="57" t="s">
        <v>1543</v>
      </c>
      <c r="B106" s="57" t="s">
        <v>246</v>
      </c>
    </row>
    <row r="107" spans="1:2">
      <c r="A107" s="57" t="s">
        <v>1544</v>
      </c>
      <c r="B107" s="57" t="s">
        <v>1545</v>
      </c>
    </row>
    <row r="108" spans="1:2">
      <c r="A108" s="57" t="s">
        <v>1546</v>
      </c>
      <c r="B108" s="57" t="s">
        <v>1547</v>
      </c>
    </row>
    <row r="109" spans="1:2">
      <c r="A109" s="57" t="s">
        <v>1548</v>
      </c>
      <c r="B109" s="57" t="s">
        <v>1549</v>
      </c>
    </row>
    <row r="110" spans="1:2">
      <c r="A110" s="57" t="s">
        <v>1550</v>
      </c>
      <c r="B110" s="57" t="s">
        <v>1551</v>
      </c>
    </row>
    <row r="111" spans="1:2">
      <c r="A111" s="57" t="s">
        <v>1552</v>
      </c>
      <c r="B111" s="57" t="s">
        <v>1553</v>
      </c>
    </row>
    <row r="112" spans="1:2">
      <c r="A112" s="57" t="s">
        <v>1554</v>
      </c>
      <c r="B112" s="57" t="s">
        <v>1555</v>
      </c>
    </row>
    <row r="113" spans="1:2">
      <c r="A113" s="57" t="s">
        <v>1556</v>
      </c>
      <c r="B113" s="57" t="s">
        <v>1557</v>
      </c>
    </row>
    <row r="114" spans="1:2">
      <c r="A114" s="57" t="s">
        <v>1558</v>
      </c>
      <c r="B114" s="57" t="s">
        <v>133</v>
      </c>
    </row>
    <row r="115" spans="1:2">
      <c r="A115" s="57" t="s">
        <v>1559</v>
      </c>
      <c r="B115" s="57" t="s">
        <v>1560</v>
      </c>
    </row>
    <row r="116" spans="1:2">
      <c r="A116" s="57" t="s">
        <v>1561</v>
      </c>
      <c r="B116" s="57" t="s">
        <v>1562</v>
      </c>
    </row>
    <row r="117" spans="1:2">
      <c r="A117" s="57" t="s">
        <v>1563</v>
      </c>
      <c r="B117" s="57" t="s">
        <v>1564</v>
      </c>
    </row>
    <row r="118" spans="1:2">
      <c r="A118" s="57" t="s">
        <v>1565</v>
      </c>
      <c r="B118" s="57" t="s">
        <v>1566</v>
      </c>
    </row>
    <row r="119" spans="1:2">
      <c r="A119" s="57" t="s">
        <v>1567</v>
      </c>
      <c r="B119" s="57" t="s">
        <v>1568</v>
      </c>
    </row>
    <row r="120" spans="1:2">
      <c r="A120" s="57" t="s">
        <v>1569</v>
      </c>
      <c r="B120" s="57" t="s">
        <v>1570</v>
      </c>
    </row>
    <row r="121" spans="1:2">
      <c r="A121" s="57" t="s">
        <v>1571</v>
      </c>
      <c r="B121" s="57" t="s">
        <v>81</v>
      </c>
    </row>
    <row r="122" spans="1:2">
      <c r="A122" s="57" t="s">
        <v>1572</v>
      </c>
      <c r="B122" s="57" t="s">
        <v>1573</v>
      </c>
    </row>
    <row r="123" spans="1:2">
      <c r="A123" s="57" t="s">
        <v>1574</v>
      </c>
      <c r="B123" s="57" t="s">
        <v>1575</v>
      </c>
    </row>
    <row r="124" spans="1:2">
      <c r="A124" s="57" t="s">
        <v>1576</v>
      </c>
      <c r="B124" s="57" t="s">
        <v>1577</v>
      </c>
    </row>
    <row r="125" spans="1:2">
      <c r="A125" s="57" t="s">
        <v>1578</v>
      </c>
      <c r="B125" s="57" t="s">
        <v>1579</v>
      </c>
    </row>
    <row r="126" spans="1:2">
      <c r="A126" s="57" t="s">
        <v>1580</v>
      </c>
      <c r="B126" s="57" t="s">
        <v>1581</v>
      </c>
    </row>
    <row r="127" spans="1:2">
      <c r="A127" s="57" t="s">
        <v>1582</v>
      </c>
      <c r="B127" s="57" t="s">
        <v>1583</v>
      </c>
    </row>
    <row r="128" spans="1:2">
      <c r="A128" s="57" t="s">
        <v>1584</v>
      </c>
      <c r="B128" s="57" t="s">
        <v>1585</v>
      </c>
    </row>
    <row r="129" spans="1:2">
      <c r="A129" s="57" t="s">
        <v>1586</v>
      </c>
      <c r="B129" s="57" t="s">
        <v>1587</v>
      </c>
    </row>
    <row r="130" spans="1:2">
      <c r="A130" s="57" t="s">
        <v>1588</v>
      </c>
      <c r="B130" s="57" t="s">
        <v>1589</v>
      </c>
    </row>
    <row r="131" spans="1:2">
      <c r="A131" s="57" t="s">
        <v>1590</v>
      </c>
      <c r="B131" s="57" t="s">
        <v>1591</v>
      </c>
    </row>
    <row r="132" spans="1:2">
      <c r="A132" s="57" t="s">
        <v>1592</v>
      </c>
      <c r="B132" s="57" t="s">
        <v>1593</v>
      </c>
    </row>
    <row r="133" spans="1:2">
      <c r="A133" s="57" t="s">
        <v>1594</v>
      </c>
      <c r="B133" s="57" t="s">
        <v>1595</v>
      </c>
    </row>
    <row r="134" spans="1:2">
      <c r="A134" s="57" t="s">
        <v>1598</v>
      </c>
      <c r="B134" s="57" t="s">
        <v>87</v>
      </c>
    </row>
    <row r="135" spans="1:2">
      <c r="A135" s="57" t="s">
        <v>1599</v>
      </c>
      <c r="B135" s="57" t="s">
        <v>1600</v>
      </c>
    </row>
    <row r="136" spans="1:2">
      <c r="A136" s="57" t="s">
        <v>1601</v>
      </c>
      <c r="B136" s="57" t="s">
        <v>1602</v>
      </c>
    </row>
    <row r="137" spans="1:2">
      <c r="A137" s="57" t="s">
        <v>1603</v>
      </c>
      <c r="B137" s="57" t="s">
        <v>1604</v>
      </c>
    </row>
    <row r="138" spans="1:2">
      <c r="A138" s="57" t="s">
        <v>1605</v>
      </c>
      <c r="B138" s="57" t="s">
        <v>1606</v>
      </c>
    </row>
    <row r="139" spans="1:2">
      <c r="A139" s="57" t="s">
        <v>1607</v>
      </c>
      <c r="B139" s="57" t="s">
        <v>1608</v>
      </c>
    </row>
    <row r="140" spans="1:2">
      <c r="A140" s="57" t="s">
        <v>1609</v>
      </c>
      <c r="B140" s="57" t="s">
        <v>1610</v>
      </c>
    </row>
    <row r="141" spans="1:2">
      <c r="A141" s="57" t="s">
        <v>1611</v>
      </c>
      <c r="B141" s="57" t="s">
        <v>1612</v>
      </c>
    </row>
    <row r="142" spans="1:2">
      <c r="A142" s="57" t="s">
        <v>1613</v>
      </c>
      <c r="B142" s="57" t="s">
        <v>1614</v>
      </c>
    </row>
    <row r="143" spans="1:2">
      <c r="A143" s="57" t="s">
        <v>1615</v>
      </c>
      <c r="B143" s="57" t="s">
        <v>1616</v>
      </c>
    </row>
    <row r="144" spans="1:2">
      <c r="A144" s="57" t="s">
        <v>1617</v>
      </c>
      <c r="B144" s="57" t="s">
        <v>1618</v>
      </c>
    </row>
    <row r="145" spans="1:2">
      <c r="A145" s="57" t="s">
        <v>1619</v>
      </c>
      <c r="B145" s="57" t="s">
        <v>1620</v>
      </c>
    </row>
    <row r="146" spans="1:2">
      <c r="A146" s="57" t="s">
        <v>1621</v>
      </c>
      <c r="B146" s="57" t="s">
        <v>1622</v>
      </c>
    </row>
    <row r="147" spans="1:2">
      <c r="A147" s="57" t="s">
        <v>1623</v>
      </c>
      <c r="B147" s="57" t="s">
        <v>1624</v>
      </c>
    </row>
    <row r="148" spans="1:2">
      <c r="A148" s="57" t="s">
        <v>1625</v>
      </c>
      <c r="B148" s="57" t="s">
        <v>1626</v>
      </c>
    </row>
    <row r="149" spans="1:2">
      <c r="A149" s="57" t="s">
        <v>1627</v>
      </c>
      <c r="B149" s="57" t="s">
        <v>1628</v>
      </c>
    </row>
    <row r="150" spans="1:2">
      <c r="A150" s="57" t="s">
        <v>1629</v>
      </c>
      <c r="B150" s="57" t="s">
        <v>1630</v>
      </c>
    </row>
    <row r="151" spans="1:2">
      <c r="A151" s="57" t="s">
        <v>1631</v>
      </c>
      <c r="B151" s="57" t="s">
        <v>1632</v>
      </c>
    </row>
    <row r="152" spans="1:2">
      <c r="A152" s="57" t="s">
        <v>1633</v>
      </c>
      <c r="B152" s="57" t="s">
        <v>71</v>
      </c>
    </row>
    <row r="153" spans="1:2">
      <c r="A153" s="57" t="s">
        <v>1634</v>
      </c>
      <c r="B153" s="57" t="s">
        <v>1635</v>
      </c>
    </row>
    <row r="154" spans="1:2">
      <c r="A154" s="57" t="s">
        <v>1636</v>
      </c>
      <c r="B154" s="57" t="s">
        <v>1637</v>
      </c>
    </row>
    <row r="155" spans="1:2">
      <c r="A155" s="57" t="s">
        <v>1638</v>
      </c>
      <c r="B155" s="57" t="s">
        <v>1639</v>
      </c>
    </row>
    <row r="156" spans="1:2">
      <c r="A156" s="57" t="s">
        <v>1640</v>
      </c>
      <c r="B156" s="57" t="s">
        <v>1641</v>
      </c>
    </row>
    <row r="157" spans="1:2">
      <c r="A157" s="57" t="s">
        <v>1642</v>
      </c>
      <c r="B157" s="57" t="s">
        <v>1643</v>
      </c>
    </row>
    <row r="158" spans="1:2">
      <c r="A158" s="57" t="s">
        <v>1644</v>
      </c>
      <c r="B158" s="57" t="s">
        <v>1645</v>
      </c>
    </row>
    <row r="159" spans="1:2">
      <c r="A159" s="57" t="s">
        <v>1646</v>
      </c>
      <c r="B159" s="57" t="s">
        <v>279</v>
      </c>
    </row>
    <row r="160" spans="1:2">
      <c r="A160" s="57" t="s">
        <v>1647</v>
      </c>
      <c r="B160" s="57" t="s">
        <v>1648</v>
      </c>
    </row>
    <row r="161" spans="1:2">
      <c r="A161" s="57" t="s">
        <v>1649</v>
      </c>
      <c r="B161" s="57" t="s">
        <v>1650</v>
      </c>
    </row>
    <row r="162" spans="1:2">
      <c r="A162" s="57" t="s">
        <v>1651</v>
      </c>
      <c r="B162" s="57" t="s">
        <v>1652</v>
      </c>
    </row>
    <row r="163" spans="1:2">
      <c r="A163" s="57" t="s">
        <v>1653</v>
      </c>
      <c r="B163" s="57" t="s">
        <v>1654</v>
      </c>
    </row>
    <row r="164" spans="1:2">
      <c r="A164" s="57" t="s">
        <v>1655</v>
      </c>
      <c r="B164" s="57" t="s">
        <v>1656</v>
      </c>
    </row>
    <row r="165" spans="1:2">
      <c r="A165" s="57" t="s">
        <v>1657</v>
      </c>
      <c r="B165" s="57" t="s">
        <v>1658</v>
      </c>
    </row>
    <row r="166" spans="1:2">
      <c r="A166" s="57" t="s">
        <v>1596</v>
      </c>
      <c r="B166" s="57" t="s">
        <v>1597</v>
      </c>
    </row>
    <row r="167" spans="1:2">
      <c r="A167" s="57" t="s">
        <v>1659</v>
      </c>
      <c r="B167" s="57" t="s">
        <v>1660</v>
      </c>
    </row>
    <row r="168" spans="1:2">
      <c r="A168" s="57" t="s">
        <v>1661</v>
      </c>
      <c r="B168" s="57" t="s">
        <v>116</v>
      </c>
    </row>
    <row r="169" spans="1:2">
      <c r="A169" s="57" t="s">
        <v>1662</v>
      </c>
      <c r="B169" s="57" t="s">
        <v>1663</v>
      </c>
    </row>
    <row r="170" spans="1:2">
      <c r="A170" s="57" t="s">
        <v>1664</v>
      </c>
      <c r="B170" s="57" t="s">
        <v>1665</v>
      </c>
    </row>
    <row r="171" spans="1:2">
      <c r="A171" s="57" t="s">
        <v>1666</v>
      </c>
      <c r="B171" s="57" t="s">
        <v>1667</v>
      </c>
    </row>
    <row r="172" spans="1:2">
      <c r="A172" s="57" t="s">
        <v>1668</v>
      </c>
      <c r="B172" s="57" t="s">
        <v>1669</v>
      </c>
    </row>
    <row r="173" spans="1:2">
      <c r="A173" s="57" t="s">
        <v>1670</v>
      </c>
      <c r="B173" s="57" t="s">
        <v>1671</v>
      </c>
    </row>
    <row r="174" spans="1:2">
      <c r="A174" s="57" t="s">
        <v>1672</v>
      </c>
      <c r="B174" s="57" t="s">
        <v>1673</v>
      </c>
    </row>
    <row r="175" spans="1:2">
      <c r="A175" s="57" t="s">
        <v>1674</v>
      </c>
      <c r="B175" s="57" t="s">
        <v>1675</v>
      </c>
    </row>
    <row r="176" spans="1:2">
      <c r="A176" s="57" t="s">
        <v>1676</v>
      </c>
      <c r="B176" s="57" t="s">
        <v>1677</v>
      </c>
    </row>
    <row r="177" spans="1:2">
      <c r="A177" s="57" t="s">
        <v>1678</v>
      </c>
      <c r="B177" s="57" t="s">
        <v>1679</v>
      </c>
    </row>
    <row r="178" spans="1:2">
      <c r="A178" s="57" t="s">
        <v>1680</v>
      </c>
      <c r="B178" s="57" t="s">
        <v>1681</v>
      </c>
    </row>
    <row r="179" spans="1:2">
      <c r="A179" s="57" t="s">
        <v>1682</v>
      </c>
      <c r="B179" s="57" t="s">
        <v>1683</v>
      </c>
    </row>
    <row r="180" spans="1:2">
      <c r="A180" s="57" t="s">
        <v>1684</v>
      </c>
      <c r="B180" s="57" t="s">
        <v>1685</v>
      </c>
    </row>
    <row r="181" spans="1:2">
      <c r="A181" s="57" t="s">
        <v>1686</v>
      </c>
      <c r="B181" s="57" t="s">
        <v>1687</v>
      </c>
    </row>
    <row r="182" spans="1:2">
      <c r="A182" s="57" t="s">
        <v>1688</v>
      </c>
      <c r="B182" s="57" t="s">
        <v>1689</v>
      </c>
    </row>
    <row r="183" spans="1:2">
      <c r="A183" s="57" t="s">
        <v>1690</v>
      </c>
      <c r="B183" s="57" t="s">
        <v>1691</v>
      </c>
    </row>
    <row r="184" spans="1:2">
      <c r="A184" s="57" t="s">
        <v>1692</v>
      </c>
      <c r="B184" s="57" t="s">
        <v>1693</v>
      </c>
    </row>
    <row r="185" spans="1:2">
      <c r="A185" s="57" t="s">
        <v>1694</v>
      </c>
      <c r="B185" s="57" t="s">
        <v>173</v>
      </c>
    </row>
    <row r="186" spans="1:2">
      <c r="A186" s="57" t="s">
        <v>1695</v>
      </c>
      <c r="B186" s="57" t="s">
        <v>1696</v>
      </c>
    </row>
    <row r="187" spans="1:2">
      <c r="A187" s="57" t="s">
        <v>1697</v>
      </c>
      <c r="B187" s="57" t="s">
        <v>1698</v>
      </c>
    </row>
    <row r="188" spans="1:2">
      <c r="A188" s="57" t="s">
        <v>1699</v>
      </c>
      <c r="B188" s="57" t="s">
        <v>1700</v>
      </c>
    </row>
    <row r="189" spans="1:2">
      <c r="A189" s="57" t="s">
        <v>1701</v>
      </c>
      <c r="B189" s="57" t="s">
        <v>1702</v>
      </c>
    </row>
    <row r="190" spans="1:2">
      <c r="A190" s="57" t="s">
        <v>1703</v>
      </c>
      <c r="B190" s="57" t="s">
        <v>1704</v>
      </c>
    </row>
    <row r="191" spans="1:2">
      <c r="A191" s="57" t="s">
        <v>1705</v>
      </c>
      <c r="B191" s="57" t="s">
        <v>1706</v>
      </c>
    </row>
    <row r="192" spans="1:2">
      <c r="A192" s="57" t="s">
        <v>1707</v>
      </c>
      <c r="B192" s="57" t="s">
        <v>1708</v>
      </c>
    </row>
    <row r="193" spans="1:2">
      <c r="A193" s="57" t="s">
        <v>1709</v>
      </c>
      <c r="B193" s="57" t="s">
        <v>1710</v>
      </c>
    </row>
    <row r="194" spans="1:2">
      <c r="A194" s="57" t="s">
        <v>1711</v>
      </c>
      <c r="B194" s="57" t="s">
        <v>1712</v>
      </c>
    </row>
    <row r="195" spans="1:2">
      <c r="A195" s="57" t="s">
        <v>1713</v>
      </c>
      <c r="B195" s="57" t="s">
        <v>1714</v>
      </c>
    </row>
    <row r="196" spans="1:2">
      <c r="A196" s="57" t="s">
        <v>1715</v>
      </c>
      <c r="B196" s="57" t="s">
        <v>1716</v>
      </c>
    </row>
    <row r="197" spans="1:2">
      <c r="A197" s="57" t="s">
        <v>1717</v>
      </c>
      <c r="B197" s="57" t="s">
        <v>1718</v>
      </c>
    </row>
    <row r="198" spans="1:2">
      <c r="A198" s="57" t="s">
        <v>1719</v>
      </c>
      <c r="B198" s="57" t="s">
        <v>1720</v>
      </c>
    </row>
    <row r="199" spans="1:2">
      <c r="A199" s="57" t="s">
        <v>1721</v>
      </c>
      <c r="B199" s="57" t="s">
        <v>1722</v>
      </c>
    </row>
    <row r="200" spans="1:2">
      <c r="A200" s="57" t="s">
        <v>1723</v>
      </c>
      <c r="B200" s="57" t="s">
        <v>1724</v>
      </c>
    </row>
    <row r="201" spans="1:2">
      <c r="A201" s="57" t="s">
        <v>1725</v>
      </c>
      <c r="B201" s="57" t="s">
        <v>1726</v>
      </c>
    </row>
    <row r="202" spans="1:2">
      <c r="A202" s="57" t="s">
        <v>1727</v>
      </c>
      <c r="B202" s="57" t="s">
        <v>1728</v>
      </c>
    </row>
    <row r="203" spans="1:2">
      <c r="A203" s="57" t="s">
        <v>1729</v>
      </c>
      <c r="B203" s="57" t="s">
        <v>1730</v>
      </c>
    </row>
    <row r="204" spans="1:2">
      <c r="A204" s="57" t="s">
        <v>1731</v>
      </c>
      <c r="B204" s="57" t="s">
        <v>1732</v>
      </c>
    </row>
    <row r="205" spans="1:2">
      <c r="A205" s="57" t="s">
        <v>1733</v>
      </c>
      <c r="B205" s="57" t="s">
        <v>1734</v>
      </c>
    </row>
    <row r="206" spans="1:2">
      <c r="A206" s="57" t="s">
        <v>1735</v>
      </c>
      <c r="B206" s="57" t="s">
        <v>1736</v>
      </c>
    </row>
    <row r="207" spans="1:2">
      <c r="A207" s="57" t="s">
        <v>1737</v>
      </c>
      <c r="B207" s="57" t="s">
        <v>1738</v>
      </c>
    </row>
    <row r="208" spans="1:2">
      <c r="A208" s="57" t="s">
        <v>1739</v>
      </c>
      <c r="B208" s="57" t="s">
        <v>1740</v>
      </c>
    </row>
    <row r="209" spans="1:2">
      <c r="A209" s="57" t="s">
        <v>1741</v>
      </c>
      <c r="B209" s="57" t="s">
        <v>1742</v>
      </c>
    </row>
    <row r="210" spans="1:2">
      <c r="A210" s="57" t="s">
        <v>1743</v>
      </c>
      <c r="B210" s="57" t="s">
        <v>1744</v>
      </c>
    </row>
    <row r="211" spans="1:2">
      <c r="A211" s="57" t="s">
        <v>1745</v>
      </c>
      <c r="B211" s="57" t="s">
        <v>1746</v>
      </c>
    </row>
    <row r="212" spans="1:2">
      <c r="A212" s="57" t="s">
        <v>1747</v>
      </c>
      <c r="B212" s="57" t="s">
        <v>1748</v>
      </c>
    </row>
    <row r="213" spans="1:2">
      <c r="A213" s="57" t="s">
        <v>1749</v>
      </c>
      <c r="B213" s="57" t="s">
        <v>1750</v>
      </c>
    </row>
    <row r="214" spans="1:2">
      <c r="A214" s="57" t="s">
        <v>1751</v>
      </c>
      <c r="B214" s="57" t="s">
        <v>1752</v>
      </c>
    </row>
    <row r="215" spans="1:2">
      <c r="A215" s="57" t="s">
        <v>1753</v>
      </c>
      <c r="B215" s="57" t="s">
        <v>1754</v>
      </c>
    </row>
    <row r="216" spans="1:2">
      <c r="A216" s="57" t="s">
        <v>1755</v>
      </c>
      <c r="B216" s="57" t="s">
        <v>1756</v>
      </c>
    </row>
    <row r="217" spans="1:2">
      <c r="A217" s="57" t="s">
        <v>1757</v>
      </c>
      <c r="B217" s="57" t="s">
        <v>1758</v>
      </c>
    </row>
    <row r="218" spans="1:2">
      <c r="A218" s="57" t="s">
        <v>1759</v>
      </c>
      <c r="B218" s="57" t="s">
        <v>1760</v>
      </c>
    </row>
    <row r="219" spans="1:2">
      <c r="A219" s="57" t="s">
        <v>1761</v>
      </c>
      <c r="B219" s="57" t="s">
        <v>76</v>
      </c>
    </row>
    <row r="220" spans="1:2">
      <c r="A220" s="57" t="s">
        <v>1762</v>
      </c>
      <c r="B220" s="57" t="s">
        <v>1763</v>
      </c>
    </row>
    <row r="221" spans="1:2">
      <c r="A221" s="57" t="s">
        <v>1764</v>
      </c>
      <c r="B221" s="57" t="s">
        <v>1765</v>
      </c>
    </row>
    <row r="222" spans="1:2">
      <c r="A222" s="57" t="s">
        <v>1766</v>
      </c>
      <c r="B222" s="57" t="s">
        <v>192</v>
      </c>
    </row>
    <row r="223" spans="1:2">
      <c r="A223" s="57" t="s">
        <v>1767</v>
      </c>
      <c r="B223" s="57" t="s">
        <v>1768</v>
      </c>
    </row>
    <row r="224" spans="1:2">
      <c r="A224" s="57" t="s">
        <v>1769</v>
      </c>
      <c r="B224" s="57" t="s">
        <v>1770</v>
      </c>
    </row>
    <row r="225" spans="1:2">
      <c r="A225" s="57" t="s">
        <v>1771</v>
      </c>
      <c r="B225" s="57" t="s">
        <v>1772</v>
      </c>
    </row>
    <row r="226" spans="1:2">
      <c r="A226" s="57" t="s">
        <v>1773</v>
      </c>
      <c r="B226" s="57" t="s">
        <v>1774</v>
      </c>
    </row>
    <row r="227" spans="1:2">
      <c r="A227" s="57" t="s">
        <v>1775</v>
      </c>
      <c r="B227" s="57" t="s">
        <v>1776</v>
      </c>
    </row>
    <row r="228" spans="1:2">
      <c r="A228" s="57" t="s">
        <v>1777</v>
      </c>
      <c r="B228" s="57" t="s">
        <v>1778</v>
      </c>
    </row>
    <row r="229" spans="1:2">
      <c r="A229" s="57" t="s">
        <v>1779</v>
      </c>
      <c r="B229" s="57" t="s">
        <v>1780</v>
      </c>
    </row>
    <row r="230" spans="1:2">
      <c r="A230" s="57" t="s">
        <v>1781</v>
      </c>
      <c r="B230" s="57" t="s">
        <v>1782</v>
      </c>
    </row>
    <row r="231" spans="1:2">
      <c r="A231" s="57" t="s">
        <v>1783</v>
      </c>
      <c r="B231" s="57" t="s">
        <v>1784</v>
      </c>
    </row>
    <row r="232" spans="1:2">
      <c r="A232" s="57" t="s">
        <v>1785</v>
      </c>
      <c r="B232" s="57" t="s">
        <v>1786</v>
      </c>
    </row>
    <row r="233" spans="1:2">
      <c r="A233" s="57" t="s">
        <v>1787</v>
      </c>
      <c r="B233" s="57" t="s">
        <v>1788</v>
      </c>
    </row>
    <row r="234" spans="1:2">
      <c r="A234" s="57" t="s">
        <v>1789</v>
      </c>
      <c r="B234" s="57" t="s">
        <v>1790</v>
      </c>
    </row>
    <row r="235" spans="1:2">
      <c r="A235" s="57" t="s">
        <v>1791</v>
      </c>
      <c r="B235" s="57" t="s">
        <v>1792</v>
      </c>
    </row>
    <row r="236" spans="1:2">
      <c r="A236" s="57" t="s">
        <v>1793</v>
      </c>
      <c r="B236" s="57" t="s">
        <v>156</v>
      </c>
    </row>
    <row r="237" spans="1:2">
      <c r="A237" s="57" t="s">
        <v>1794</v>
      </c>
      <c r="B237" s="57" t="s">
        <v>1795</v>
      </c>
    </row>
    <row r="238" spans="1:2">
      <c r="A238" s="57" t="s">
        <v>1796</v>
      </c>
      <c r="B238" s="57" t="s">
        <v>300</v>
      </c>
    </row>
    <row r="239" spans="1:2">
      <c r="A239" s="57" t="s">
        <v>1797</v>
      </c>
      <c r="B239" s="57" t="s">
        <v>1798</v>
      </c>
    </row>
    <row r="240" spans="1:2">
      <c r="A240" s="57" t="s">
        <v>1799</v>
      </c>
      <c r="B240" s="57" t="s">
        <v>1800</v>
      </c>
    </row>
    <row r="241" spans="1:2">
      <c r="A241" s="57" t="s">
        <v>1801</v>
      </c>
      <c r="B241" s="57" t="s">
        <v>1802</v>
      </c>
    </row>
    <row r="242" spans="1:2">
      <c r="A242" s="57" t="s">
        <v>1803</v>
      </c>
      <c r="B242" s="57" t="s">
        <v>1804</v>
      </c>
    </row>
    <row r="243" spans="1:2">
      <c r="A243" s="57" t="s">
        <v>1805</v>
      </c>
      <c r="B243" s="57" t="s">
        <v>1806</v>
      </c>
    </row>
    <row r="244" spans="1:2">
      <c r="A244" s="57" t="s">
        <v>1807</v>
      </c>
      <c r="B244" s="57" t="s">
        <v>1808</v>
      </c>
    </row>
    <row r="245" spans="1:2">
      <c r="A245" s="57" t="s">
        <v>1809</v>
      </c>
      <c r="B245" s="57" t="s">
        <v>1810</v>
      </c>
    </row>
    <row r="246" spans="1:2">
      <c r="A246" s="57" t="s">
        <v>1811</v>
      </c>
      <c r="B246" s="57" t="s">
        <v>1812</v>
      </c>
    </row>
    <row r="247" spans="1:2">
      <c r="A247" s="57" t="s">
        <v>1813</v>
      </c>
      <c r="B247" s="57" t="s">
        <v>1814</v>
      </c>
    </row>
    <row r="248" spans="1:2">
      <c r="A248" s="57" t="s">
        <v>1815</v>
      </c>
      <c r="B248" s="57" t="s">
        <v>1816</v>
      </c>
    </row>
    <row r="249" spans="1:2">
      <c r="A249" s="57" t="s">
        <v>1817</v>
      </c>
      <c r="B249" s="57" t="s">
        <v>1818</v>
      </c>
    </row>
    <row r="250" spans="1:2">
      <c r="A250" s="57" t="s">
        <v>1819</v>
      </c>
      <c r="B250" s="57"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1821</v>
      </c>
      <c r="B1" s="154" t="s">
        <v>1822</v>
      </c>
      <c r="C1" s="154"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ED736F21-23BC-4A15-8548-AB6433B8B4BB}"/>
    </customSheetView>
    <customSheetView guid="{C59130F4-2E03-5E48-94CE-6E4A0484DB9E}" showAutoFilter="1">
      <selection activeCell="C1" sqref="C1:D65536"/>
      <pageMargins left="0" right="0" top="0" bottom="0" header="0" footer="0"/>
      <pageSetup orientation="portrait"/>
      <headerFooter alignWithMargins="0"/>
      <autoFilter ref="B1:C1" xr:uid="{23277737-67AD-44CE-B055-E18603A6DE5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6" t="str">
        <f ca="1">OFFSET(L!$C$1,MATCH("Instructions"&amp;ADDRESS(ROW(),COLUMN(),4),L!$A:$A,0)-1,SL,,)</f>
        <v>1. Insert your company's Legal Name.  Please do not use abbreviations. In this field you have the option to add other commercial names, DBAs, etc. This field is mandatory.</v>
      </c>
      <c r="B7" s="179"/>
    </row>
    <row r="8" spans="1:2" ht="307.8">
      <c r="A8" s="19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399999999999999"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48.6">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7"/>
      <c r="B35" s="179"/>
    </row>
    <row r="36" spans="1:2" ht="68.400000000000006"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 customHeight="1">
      <c r="A45" s="217"/>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3.9"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99.9"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7"/>
      <c r="B64" s="179"/>
    </row>
    <row r="65" spans="1:2" ht="32.4">
      <c r="A65" s="218"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7"/>
      <c r="B79" s="179"/>
    </row>
    <row r="80" spans="1:2" ht="97.2">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7"/>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1" t="s">
        <v>20115</v>
      </c>
      <c r="B91" s="178"/>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457"/>
      <c r="B1" s="458"/>
      <c r="C1" s="458"/>
      <c r="D1" s="459"/>
    </row>
    <row r="2" spans="1:8" ht="16.2">
      <c r="A2" s="176"/>
      <c r="B2" s="177" t="str">
        <f ca="1">OFFSET(L!$C$1,MATCH("Definitions"&amp;ADDRESS(ROW(),COLUMN(),4),L!$A:$A,0)-1,SL,,)</f>
        <v>ITEM</v>
      </c>
      <c r="C2" s="177" t="str">
        <f ca="1">OFFSET(L!$C$1,MATCH("Definitions"&amp;ADDRESS(ROW(),COLUMN(),4),L!$A:$A,0)-1,SL,,)</f>
        <v>DEFINITION</v>
      </c>
      <c r="D2" s="461"/>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61"/>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9"/>
    </row>
    <row r="7" spans="1:8" ht="91.5" customHeight="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61"/>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61"/>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61"/>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9"/>
    </row>
    <row r="19" spans="1:5" ht="97.2">
      <c r="A19" s="176"/>
      <c r="B19" s="177" t="str">
        <f ca="1">OFFSET(L!$C$1,MATCH("Definitions"&amp;ADDRESS(ROW(),COLUMN(),4),L!$A:$A,0)-1,SL,,)</f>
        <v>Processor</v>
      </c>
      <c r="C19" s="17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61"/>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9"/>
    </row>
    <row r="28" spans="1:5" ht="16.2">
      <c r="A28" s="176"/>
      <c r="B28" s="463" t="str">
        <f ca="1">OFFSET(L!$C$1,MATCH("Definitions"&amp;ADDRESS(ROW(),COLUMN(),4),L!$A:$A,0)-1,SL,,)</f>
        <v>* Please consult the EMRT Completion Guide for additional details on primary and secondary sources for this mineral.</v>
      </c>
      <c r="C28" s="463"/>
      <c r="D28" s="461"/>
      <c r="E28" s="179"/>
    </row>
    <row r="29" spans="1:5" ht="16.2">
      <c r="A29" s="176"/>
      <c r="B29" s="460" t="str">
        <f ca="1">OFFSET(L!$C$1,MATCH("General"&amp;"Cpy",L!$A:$A,0)-1,SL,,)</f>
        <v>© 2025 Responsible Minerals Initiative. All rights reserved.</v>
      </c>
      <c r="C29" s="460"/>
      <c r="D29" s="461"/>
      <c r="E29" s="179"/>
    </row>
    <row r="30" spans="1:5" ht="13.2" thickBot="1">
      <c r="A30" s="180"/>
      <c r="B30" s="181"/>
      <c r="C30" s="181"/>
      <c r="D30" s="462"/>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33" sqref="G33:J33"/>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391"/>
      <c r="B1" s="392"/>
      <c r="C1" s="392"/>
      <c r="D1" s="392"/>
      <c r="E1" s="392"/>
      <c r="F1" s="392"/>
      <c r="G1" s="392"/>
      <c r="H1" s="392"/>
      <c r="I1" s="392"/>
      <c r="J1" s="392"/>
      <c r="K1" s="393"/>
      <c r="L1" s="102"/>
      <c r="P1" s="3"/>
      <c r="Q1" s="3"/>
      <c r="R1" s="3"/>
      <c r="S1" s="3"/>
      <c r="T1" s="3"/>
      <c r="U1" s="3"/>
      <c r="V1" s="3"/>
      <c r="W1" s="3"/>
      <c r="X1" s="3"/>
      <c r="Y1" s="3"/>
      <c r="Z1" s="3"/>
      <c r="AA1" s="3"/>
      <c r="AB1" s="3"/>
      <c r="AC1" s="3"/>
      <c r="AD1" s="3"/>
      <c r="AE1" s="3"/>
      <c r="AF1" s="3"/>
      <c r="AG1" s="3"/>
      <c r="AH1" s="3"/>
    </row>
    <row r="2" spans="1:34" ht="81.75" customHeight="1">
      <c r="A2" s="28"/>
      <c r="B2" s="282"/>
      <c r="C2" s="29"/>
      <c r="D2" s="394" t="str">
        <f ca="1">OFFSET(L!$C$1,MATCH("Declaration"&amp;ADDRESS(ROW(),COLUMN(),4),L!$A:$A,0)-1,SL,,)</f>
        <v>Extended Minerals Reporting Template (EMRT)</v>
      </c>
      <c r="E2" s="395"/>
      <c r="F2" s="395"/>
      <c r="G2" s="395"/>
      <c r="H2" s="395"/>
      <c r="I2" s="395"/>
      <c r="J2" s="396"/>
      <c r="K2" s="30"/>
      <c r="L2" s="103"/>
      <c r="N2" s="96"/>
      <c r="O2" s="96"/>
      <c r="P2" s="3"/>
      <c r="Q2" s="3"/>
      <c r="R2" s="3"/>
      <c r="S2" s="3"/>
      <c r="T2" s="3"/>
      <c r="U2" s="3"/>
      <c r="V2" s="3"/>
      <c r="W2" s="3"/>
      <c r="X2" s="3"/>
      <c r="Y2" s="3"/>
      <c r="Z2" s="3"/>
      <c r="AA2" s="3"/>
      <c r="AB2" s="3"/>
      <c r="AC2" s="3"/>
      <c r="AD2" s="3"/>
      <c r="AE2" s="3"/>
      <c r="AF2" s="3"/>
      <c r="AG2" s="3"/>
      <c r="AH2" s="3"/>
    </row>
    <row r="3" spans="1:34" ht="139.5" customHeight="1">
      <c r="A3" s="28"/>
      <c r="B3" s="221" t="s">
        <v>18641</v>
      </c>
      <c r="C3" s="12"/>
      <c r="D3" s="31" t="s">
        <v>17</v>
      </c>
      <c r="E3" s="428"/>
      <c r="F3" s="429"/>
      <c r="G3" s="429"/>
      <c r="H3" s="429"/>
      <c r="I3" s="429"/>
      <c r="J3" s="384" t="s">
        <v>20117</v>
      </c>
      <c r="K3" s="30"/>
      <c r="L3" s="102"/>
      <c r="P3" s="39">
        <f>MATCH($D$3,LN,0)</f>
        <v>1</v>
      </c>
    </row>
    <row r="4" spans="1:34" ht="16.2">
      <c r="A4" s="28"/>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30"/>
      <c r="L4" s="104"/>
      <c r="P4" s="3"/>
      <c r="Q4" s="3"/>
      <c r="R4" s="3"/>
      <c r="S4" s="3"/>
      <c r="T4" s="3"/>
      <c r="U4" s="3"/>
      <c r="V4" s="3"/>
      <c r="W4" s="3"/>
      <c r="X4" s="3"/>
      <c r="Y4" s="3"/>
      <c r="Z4" s="3"/>
      <c r="AA4" s="3"/>
      <c r="AB4" s="3"/>
      <c r="AC4" s="3"/>
      <c r="AD4" s="3"/>
      <c r="AE4" s="3"/>
      <c r="AF4" s="3"/>
      <c r="AG4" s="3"/>
      <c r="AH4" s="3"/>
    </row>
    <row r="5" spans="1:34" ht="16.2">
      <c r="A5" s="125" t="str">
        <f>LEFT(D9,1)</f>
        <v>A</v>
      </c>
      <c r="B5" s="13"/>
      <c r="C5" s="13"/>
      <c r="D5" s="13"/>
      <c r="E5" s="13"/>
      <c r="F5" s="13"/>
      <c r="G5" s="13"/>
      <c r="H5" s="13"/>
      <c r="I5" s="13"/>
      <c r="J5" s="13"/>
      <c r="K5" s="30"/>
      <c r="L5" s="104"/>
      <c r="M5" s="97"/>
      <c r="N5" s="97"/>
      <c r="O5" s="97"/>
      <c r="P5" s="11"/>
      <c r="Q5" s="11"/>
      <c r="R5" s="11"/>
      <c r="S5" s="11"/>
      <c r="T5" s="11"/>
      <c r="U5" s="11"/>
      <c r="V5" s="11"/>
      <c r="W5" s="11"/>
      <c r="X5" s="11"/>
      <c r="Y5" s="11"/>
      <c r="Z5" s="11"/>
      <c r="AA5" s="11"/>
      <c r="AB5" s="11"/>
      <c r="AC5" s="11"/>
      <c r="AD5" s="11"/>
      <c r="AE5" s="11"/>
      <c r="AF5" s="11"/>
      <c r="AG5" s="11"/>
      <c r="AH5" s="11"/>
    </row>
    <row r="6" spans="1:34" ht="32.4">
      <c r="A6" s="28"/>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30"/>
      <c r="L6" s="104" t="s">
        <v>18</v>
      </c>
      <c r="P6" s="3"/>
      <c r="Q6" s="3"/>
      <c r="R6" s="3"/>
      <c r="S6" s="3"/>
      <c r="T6" s="3"/>
      <c r="U6" s="3"/>
      <c r="V6" s="3"/>
      <c r="W6" s="3"/>
      <c r="X6" s="3"/>
      <c r="Y6" s="3"/>
      <c r="Z6" s="3"/>
      <c r="AA6" s="3"/>
      <c r="AB6" s="3"/>
      <c r="AC6" s="3"/>
      <c r="AD6" s="3"/>
      <c r="AE6" s="3"/>
      <c r="AF6" s="3"/>
      <c r="AG6" s="3"/>
      <c r="AH6" s="3"/>
    </row>
    <row r="7" spans="1:34" ht="16.2">
      <c r="A7" s="28"/>
      <c r="B7" s="408" t="str">
        <f ca="1">OFFSET(L!$C$1,MATCH("Declaration"&amp;ADDRESS(ROW(),COLUMN(),4),L!$A:$A,0)-1,SL,,)</f>
        <v>Company Information</v>
      </c>
      <c r="C7" s="408"/>
      <c r="D7" s="408"/>
      <c r="E7" s="408"/>
      <c r="F7" s="408"/>
      <c r="G7" s="408"/>
      <c r="H7" s="408"/>
      <c r="I7" s="408"/>
      <c r="J7" s="408"/>
      <c r="K7" s="30"/>
      <c r="L7" s="104"/>
      <c r="P7" s="3"/>
      <c r="Q7" s="3"/>
      <c r="R7" s="3"/>
      <c r="S7" s="3"/>
      <c r="T7" s="3"/>
      <c r="U7" s="3"/>
      <c r="V7" s="3"/>
      <c r="W7" s="3"/>
      <c r="X7" s="3"/>
      <c r="Y7" s="3"/>
      <c r="Z7" s="3"/>
      <c r="AA7" s="3"/>
      <c r="AB7" s="3"/>
      <c r="AC7" s="3"/>
      <c r="AD7" s="3"/>
      <c r="AE7" s="3"/>
      <c r="AF7" s="3"/>
      <c r="AG7" s="3"/>
      <c r="AH7" s="3"/>
    </row>
    <row r="8" spans="1:34" ht="16.2">
      <c r="A8" s="32"/>
      <c r="B8" s="65" t="str">
        <f ca="1">OFFSET(L!$C$1,MATCH("Declaration"&amp;ADDRESS(ROW(),COLUMN(),4),L!$A:$A,0)-1,SL,,)</f>
        <v>Company Name (*):</v>
      </c>
      <c r="C8" s="66"/>
      <c r="D8" s="397" t="s">
        <v>20161</v>
      </c>
      <c r="E8" s="398"/>
      <c r="F8" s="398"/>
      <c r="G8" s="398"/>
      <c r="H8" s="398"/>
      <c r="I8" s="398"/>
      <c r="J8" s="399"/>
      <c r="K8" s="33"/>
      <c r="L8" s="104"/>
      <c r="P8" s="3"/>
      <c r="Q8" s="3"/>
      <c r="R8" s="3"/>
      <c r="S8" s="3"/>
      <c r="T8" s="3"/>
      <c r="U8" s="3"/>
      <c r="V8" s="3"/>
      <c r="W8" s="3"/>
      <c r="X8" s="3"/>
      <c r="Y8" s="3"/>
      <c r="Z8" s="3"/>
      <c r="AA8" s="3"/>
      <c r="AB8" s="3"/>
      <c r="AC8" s="3"/>
      <c r="AD8" s="3"/>
      <c r="AE8" s="3"/>
      <c r="AF8" s="3"/>
      <c r="AG8" s="3"/>
      <c r="AH8" s="3"/>
    </row>
    <row r="9" spans="1:34" ht="16.2">
      <c r="A9" s="32"/>
      <c r="B9" s="65" t="str">
        <f ca="1">OFFSET(L!$C$1,MATCH("Declaration"&amp;ADDRESS(ROW(),COLUMN(),4),L!$A:$A,0)-1,SL,,)</f>
        <v>Declaration Scope or Class (*):</v>
      </c>
      <c r="C9" s="66"/>
      <c r="D9" s="431" t="s">
        <v>19</v>
      </c>
      <c r="E9" s="432"/>
      <c r="F9" s="432"/>
      <c r="G9" s="433"/>
      <c r="H9" s="193"/>
      <c r="I9" s="193"/>
      <c r="J9" s="193"/>
      <c r="K9" s="30"/>
      <c r="L9" s="104"/>
      <c r="P9" s="39" t="s">
        <v>19</v>
      </c>
      <c r="Q9" s="39" t="s">
        <v>20</v>
      </c>
      <c r="R9" s="39" t="s">
        <v>21</v>
      </c>
      <c r="S9" s="39"/>
      <c r="T9" s="27"/>
      <c r="U9" s="3"/>
      <c r="V9" s="3"/>
      <c r="W9" s="3"/>
      <c r="X9" s="3"/>
      <c r="Y9" s="3"/>
      <c r="Z9" s="3"/>
      <c r="AA9" s="3"/>
      <c r="AB9" s="3"/>
      <c r="AC9" s="3"/>
      <c r="AD9" s="3"/>
      <c r="AE9" s="3"/>
      <c r="AF9" s="3"/>
      <c r="AG9" s="3"/>
      <c r="AH9" s="3"/>
    </row>
    <row r="10" spans="1:34" ht="32.25" customHeight="1">
      <c r="A10" s="32"/>
      <c r="B10" s="409" t="str">
        <f ca="1">OFFSET(L!$C$1,MATCH("Declaration"&amp;ADDRESS(ROW(),COLUMN(),4)&amp;LEFT($D$9,1),L!$A:$A,0)-1,SL,,)</f>
        <v>Description of Scope:</v>
      </c>
      <c r="C10" s="112"/>
      <c r="D10" s="404" t="s">
        <v>20162</v>
      </c>
      <c r="E10" s="405"/>
      <c r="F10" s="405"/>
      <c r="G10" s="405"/>
      <c r="H10" s="405"/>
      <c r="I10" s="405"/>
      <c r="J10" s="406"/>
      <c r="K10" s="30"/>
      <c r="L10" s="104"/>
      <c r="Q10" s="3"/>
      <c r="R10" s="3"/>
      <c r="S10" s="3"/>
      <c r="T10" s="3"/>
      <c r="U10" s="3"/>
      <c r="V10" s="3"/>
      <c r="W10" s="3"/>
      <c r="X10" s="3"/>
      <c r="Y10" s="3"/>
      <c r="Z10" s="3"/>
      <c r="AA10" s="3"/>
      <c r="AB10" s="3"/>
      <c r="AC10" s="3"/>
      <c r="AD10" s="3"/>
      <c r="AE10" s="3"/>
      <c r="AF10" s="3"/>
      <c r="AG10" s="3"/>
      <c r="AH10" s="3"/>
    </row>
    <row r="11" spans="1:34" ht="16.2">
      <c r="A11" s="32"/>
      <c r="B11" s="410"/>
      <c r="C11" s="112"/>
      <c r="D11" s="411" t="str">
        <f ca="1">IF(D9=Q9,OFFSET(L!$C$1,MATCH("Declaration"&amp;ADDRESS(ROW(),COLUMN(),4),L!$A:$A,0)-1,SL,,),"")</f>
        <v/>
      </c>
      <c r="E11" s="412"/>
      <c r="F11" s="412"/>
      <c r="G11" s="412"/>
      <c r="H11" s="412"/>
      <c r="I11" s="412"/>
      <c r="J11" s="413"/>
      <c r="K11" s="30"/>
      <c r="L11" s="104"/>
      <c r="Q11" s="3"/>
      <c r="R11" s="3"/>
      <c r="S11" s="3"/>
      <c r="T11" s="3"/>
      <c r="U11" s="3"/>
      <c r="V11" s="3"/>
      <c r="W11" s="3"/>
      <c r="X11" s="3"/>
      <c r="Y11" s="3"/>
      <c r="Z11" s="3"/>
      <c r="AA11" s="367" t="s">
        <v>19179</v>
      </c>
      <c r="AB11" s="3"/>
      <c r="AC11" s="3"/>
      <c r="AD11" s="3"/>
      <c r="AE11" s="3"/>
      <c r="AF11" s="3"/>
      <c r="AG11" s="3"/>
      <c r="AH11" s="3"/>
    </row>
    <row r="12" spans="1:34" ht="16.2">
      <c r="A12" s="32"/>
      <c r="B12" s="383" t="str">
        <f ca="1">OFFSET(L!$C$1,MATCH("Declaration"&amp;ADDRESS(ROW(),COLUMN(),4),L!$A:$A,0)-1,SL,,)</f>
        <v>Select Minerals/Metals in Scope (*):</v>
      </c>
      <c r="C12" s="112"/>
      <c r="D12" s="371" t="s">
        <v>40</v>
      </c>
      <c r="E12" s="414" t="s">
        <v>19181</v>
      </c>
      <c r="F12" s="415"/>
      <c r="G12" s="371" t="s">
        <v>19182</v>
      </c>
      <c r="H12" s="296"/>
      <c r="I12" s="296"/>
      <c r="J12" s="296"/>
      <c r="K12" s="30"/>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3"/>
      <c r="AC12" s="3"/>
      <c r="AD12" s="3"/>
      <c r="AE12" s="3"/>
      <c r="AF12" s="3"/>
      <c r="AG12" s="3"/>
    </row>
    <row r="13" spans="1:34" ht="30">
      <c r="A13" s="32"/>
      <c r="B13" s="388" t="str">
        <f ca="1">OFFSET(L!$C$1,MATCH("Declaration"&amp;ADDRESS(ROW(),COLUMN(),4),L!$A:$A,0)-1,SL,,)</f>
        <v>Note:  The minerals selected here are reflected in questions 1-7 and C, and will be sorted in alphabetical order. Please ensure that the answers match the intended minerals.</v>
      </c>
      <c r="C13" s="112"/>
      <c r="D13" s="371" t="s">
        <v>18687</v>
      </c>
      <c r="E13" s="414" t="s">
        <v>41</v>
      </c>
      <c r="F13" s="415"/>
      <c r="G13" s="371" t="s">
        <v>19185</v>
      </c>
      <c r="H13" s="297"/>
      <c r="I13" s="297"/>
      <c r="J13" s="297"/>
      <c r="K13" s="30"/>
      <c r="L13" s="104"/>
      <c r="P13" s="294" t="str">
        <f>IF(ISBLANK(E12),"",IF(E12="(Delete Copper)",IF(ISBLANK(E14),"",E14),E12))</f>
        <v/>
      </c>
      <c r="Q13" s="295" t="str">
        <f>IF(P13="",P13,IF(P12="",P12,IF(P12&gt;P13,P12,P13)))</f>
        <v/>
      </c>
      <c r="R13" s="295" t="str">
        <f t="shared" ref="R13:Z13" si="8">IF(Q14="",Q13,IF(Q13="",Q14,IF(Q13&gt;Q14,Q14,Q13)))</f>
        <v/>
      </c>
      <c r="S13" s="295" t="str">
        <f t="shared" ref="S13" si="9">IF(R13="",R13,IF(R12="",R12,IF(R12&gt;R13,R12,R13)))</f>
        <v/>
      </c>
      <c r="T13" s="295" t="str">
        <f t="shared" si="8"/>
        <v>Lithium</v>
      </c>
      <c r="U13" s="295" t="str">
        <f t="shared" ref="U13" si="10">IF(T13="",T13,IF(T12="",T12,IF(T12&gt;T13,T12,T13)))</f>
        <v>Lithium</v>
      </c>
      <c r="V13" s="295" t="str">
        <f t="shared" si="8"/>
        <v>Lithium</v>
      </c>
      <c r="W13" s="295" t="str">
        <f t="shared" ref="W13" si="11">IF(V13="",V13,IF(V12="",V12,IF(V12&gt;V13,V12,V13)))</f>
        <v>Lithium</v>
      </c>
      <c r="X13" s="295" t="str">
        <f t="shared" si="8"/>
        <v>Lithium</v>
      </c>
      <c r="Y13" s="295" t="str">
        <f t="shared" ref="Y13" si="12">IF(X13="",X13,IF(X12="",X12,IF(X12&gt;X13,X12,X13)))</f>
        <v>Lithium</v>
      </c>
      <c r="Z13" s="295" t="str">
        <f t="shared" si="8"/>
        <v>Lithium</v>
      </c>
      <c r="AA13" s="295" t="str" cm="1">
        <f t="array" ref="AA13">_xlfn.IFNA(INDEX($Z$12:$Z$21,MATCH(0,COUNTIF($AA$12:$AA12,$Z$12:$Z$21),0)),"")</f>
        <v>Lithium</v>
      </c>
      <c r="AB13" s="3"/>
      <c r="AC13" s="3"/>
      <c r="AD13" s="3"/>
      <c r="AE13" s="3"/>
      <c r="AF13" s="3"/>
      <c r="AG13" s="3"/>
    </row>
    <row r="14" spans="1:34" ht="16.2">
      <c r="A14" s="32"/>
      <c r="B14" s="416"/>
      <c r="C14" s="112"/>
      <c r="D14" s="297"/>
      <c r="E14" s="418"/>
      <c r="F14" s="419"/>
      <c r="G14" s="297"/>
      <c r="H14" s="297"/>
      <c r="I14" s="297"/>
      <c r="J14" s="297"/>
      <c r="K14" s="30"/>
      <c r="L14" s="104"/>
      <c r="P14" s="294" t="str">
        <f>IF(ISBLANK(G12),"",IF(G12="(Delete Graphite)",IF(ISBLANK(G14),"",G14),G12))</f>
        <v/>
      </c>
      <c r="Q14" s="295" t="str">
        <f t="shared" ref="Q14:Y14" si="13">IF(P15="",P14,IF(P14="",P15,IF(P14&gt;P15,P15,P14)))</f>
        <v/>
      </c>
      <c r="R14" s="295" t="str">
        <f t="shared" ref="R14:Z14" si="14">IF(Q14="",Q14,IF(Q13="",Q13,IF(Q13&gt;Q14,Q13,Q14)))</f>
        <v/>
      </c>
      <c r="S14" s="295" t="str">
        <f t="shared" si="13"/>
        <v>Lithium</v>
      </c>
      <c r="T14" s="295" t="str">
        <f t="shared" si="14"/>
        <v/>
      </c>
      <c r="U14" s="295" t="str">
        <f t="shared" si="13"/>
        <v>Mica</v>
      </c>
      <c r="V14" s="295" t="str">
        <f t="shared" si="14"/>
        <v>Mica</v>
      </c>
      <c r="W14" s="295" t="str">
        <f t="shared" si="13"/>
        <v>Mica</v>
      </c>
      <c r="X14" s="295" t="str">
        <f t="shared" si="14"/>
        <v>Mica</v>
      </c>
      <c r="Y14" s="295" t="str">
        <f t="shared" si="13"/>
        <v>Mica</v>
      </c>
      <c r="Z14" s="295" t="str">
        <f t="shared" si="14"/>
        <v>Mica</v>
      </c>
      <c r="AA14" s="295" t="str" cm="1">
        <f t="array" ref="AA14">_xlfn.IFNA(INDEX($Z$12:$Z$21,MATCH(0,COUNTIF($AA$12:$AA13,$Z$12:$Z$21),0)),"")</f>
        <v>Mica</v>
      </c>
      <c r="AB14" s="3"/>
      <c r="AC14" s="3"/>
      <c r="AD14" s="3"/>
      <c r="AE14" s="3"/>
      <c r="AF14" s="3"/>
      <c r="AG14" s="3"/>
    </row>
    <row r="15" spans="1:34" ht="16.2">
      <c r="A15" s="32"/>
      <c r="B15" s="417"/>
      <c r="C15" s="112"/>
      <c r="D15" s="297"/>
      <c r="E15" s="418"/>
      <c r="F15" s="419"/>
      <c r="G15" s="297"/>
      <c r="H15" s="297"/>
      <c r="I15" s="297"/>
      <c r="J15" s="297"/>
      <c r="K15" s="30"/>
      <c r="L15" s="104"/>
      <c r="P15" s="294" t="str">
        <f>IF(ISBLANK(H12),"",IF(H12="(Delete)",IF(ISBLANK(H14),"",H14),H12))</f>
        <v/>
      </c>
      <c r="Q15" s="295" t="str">
        <f t="shared" ref="Q15:Y15" si="15">IF(P15="",P15,IF(P14="",P14,IF(P14&gt;P15,P14,P15)))</f>
        <v/>
      </c>
      <c r="R15" s="295" t="str">
        <f t="shared" ref="R15:Z15" si="16">IF(Q16="",Q15,IF(Q15="",Q16,IF(Q15&gt;Q16,Q16,Q15)))</f>
        <v>Lithium</v>
      </c>
      <c r="S15" s="295" t="str">
        <f t="shared" si="15"/>
        <v/>
      </c>
      <c r="T15" s="295" t="str">
        <f t="shared" si="16"/>
        <v>Mica</v>
      </c>
      <c r="U15" s="295" t="str">
        <f t="shared" si="15"/>
        <v/>
      </c>
      <c r="V15" s="295" t="str">
        <f t="shared" si="16"/>
        <v/>
      </c>
      <c r="W15" s="295" t="str">
        <f t="shared" si="15"/>
        <v/>
      </c>
      <c r="X15" s="295" t="str">
        <f t="shared" si="16"/>
        <v/>
      </c>
      <c r="Y15" s="295" t="str">
        <f t="shared" si="15"/>
        <v/>
      </c>
      <c r="Z15" s="295" t="str">
        <f t="shared" si="16"/>
        <v/>
      </c>
      <c r="AA15" s="295" t="str" cm="1">
        <f t="array" ref="AA15">_xlfn.IFNA(INDEX($Z$12:$Z$21,MATCH(0,COUNTIF($AA$12:$AA14,$Z$12:$Z$21),0)),"")</f>
        <v/>
      </c>
      <c r="AB15" s="3"/>
      <c r="AC15" s="3"/>
      <c r="AD15" s="3"/>
      <c r="AE15" s="3"/>
      <c r="AF15" s="3"/>
      <c r="AG15" s="3"/>
    </row>
    <row r="16" spans="1:34" ht="16.2">
      <c r="A16" s="32"/>
      <c r="B16" s="34" t="str">
        <f ca="1">OFFSET(L!$C$1,MATCH("Declaration"&amp;ADDRESS(ROW(),COLUMN(),4),L!$A:$A,0)-1,SL,,)</f>
        <v>Company Unique ID:</v>
      </c>
      <c r="C16" s="67"/>
      <c r="D16" s="400" t="s">
        <v>20163</v>
      </c>
      <c r="E16" s="401"/>
      <c r="F16" s="401"/>
      <c r="G16" s="401"/>
      <c r="H16" s="401"/>
      <c r="I16" s="401"/>
      <c r="J16" s="402"/>
      <c r="K16" s="30"/>
      <c r="L16" s="104"/>
      <c r="P16" s="294" t="str">
        <f>IF(ISBLANK(I12),"",IF(I12="(Delete)",IF(ISBLANK(I14),"",I14),I12))</f>
        <v/>
      </c>
      <c r="Q16" s="295" t="str">
        <f t="shared" ref="Q16:Y16" si="17">IF(P17="",P16,IF(P16="",P17,IF(P16&gt;P17,P17,P16)))</f>
        <v>Lithium</v>
      </c>
      <c r="R16" s="295" t="str">
        <f t="shared" ref="R16:Z16" si="18">IF(Q16="",Q16,IF(Q15="",Q15,IF(Q15&gt;Q16,Q15,Q16)))</f>
        <v/>
      </c>
      <c r="S16" s="295" t="str">
        <f t="shared" si="17"/>
        <v>Mica</v>
      </c>
      <c r="T16" s="295" t="str">
        <f t="shared" si="18"/>
        <v/>
      </c>
      <c r="U16" s="295" t="str">
        <f t="shared" si="17"/>
        <v/>
      </c>
      <c r="V16" s="295" t="str">
        <f t="shared" si="18"/>
        <v/>
      </c>
      <c r="W16" s="295" t="str">
        <f t="shared" si="17"/>
        <v/>
      </c>
      <c r="X16" s="295" t="str">
        <f t="shared" si="18"/>
        <v/>
      </c>
      <c r="Y16" s="295" t="str">
        <f t="shared" si="17"/>
        <v/>
      </c>
      <c r="Z16" s="295" t="str">
        <f t="shared" si="18"/>
        <v/>
      </c>
      <c r="AA16" s="295" t="str" cm="1">
        <f t="array" ref="AA16">_xlfn.IFNA(INDEX($Z$12:$Z$21,MATCH(0,COUNTIF($AA$12:$AA15,$Z$12:$Z$21),0)),"")</f>
        <v/>
      </c>
      <c r="AB16" s="3"/>
      <c r="AC16" s="3"/>
      <c r="AD16" s="3"/>
      <c r="AE16" s="3"/>
      <c r="AF16" s="3"/>
      <c r="AG16" s="3"/>
    </row>
    <row r="17" spans="1:33" ht="16.2">
      <c r="A17" s="32"/>
      <c r="B17" s="34" t="str">
        <f ca="1">OFFSET(L!$C$1,MATCH("Declaration"&amp;ADDRESS(ROW(),COLUMN(),4),L!$A:$A,0)-1,SL,,)</f>
        <v>Company Unique ID Authority:</v>
      </c>
      <c r="C17" s="67"/>
      <c r="D17" s="400"/>
      <c r="E17" s="401"/>
      <c r="F17" s="401"/>
      <c r="G17" s="401"/>
      <c r="H17" s="401"/>
      <c r="I17" s="401"/>
      <c r="J17" s="402"/>
      <c r="K17" s="30"/>
      <c r="L17" s="104"/>
      <c r="P17" s="294" t="str">
        <f>IF(ISBLANK(D13),"",IF(D13="(Delete Lithium)",IF(ISBLANK(D15),"",D15),D13))</f>
        <v>Lithium</v>
      </c>
      <c r="Q17" s="295" t="str">
        <f t="shared" ref="Q17:Y17" si="19">IF(P17="",P17,IF(P16="",P16,IF(P16&gt;P17,P16,P17)))</f>
        <v/>
      </c>
      <c r="R17" s="295" t="str">
        <f t="shared" ref="R17:Z17" si="20">IF(Q18="",Q17,IF(Q17="",Q18,IF(Q17&gt;Q18,Q18,Q17)))</f>
        <v>Mica</v>
      </c>
      <c r="S17" s="295" t="str">
        <f t="shared" si="19"/>
        <v/>
      </c>
      <c r="T17" s="295" t="str">
        <f t="shared" si="20"/>
        <v/>
      </c>
      <c r="U17" s="295" t="str">
        <f t="shared" si="19"/>
        <v/>
      </c>
      <c r="V17" s="295" t="str">
        <f t="shared" si="20"/>
        <v/>
      </c>
      <c r="W17" s="295" t="str">
        <f t="shared" si="19"/>
        <v/>
      </c>
      <c r="X17" s="295" t="str">
        <f t="shared" si="20"/>
        <v/>
      </c>
      <c r="Y17" s="295" t="str">
        <f t="shared" si="19"/>
        <v/>
      </c>
      <c r="Z17" s="295" t="str">
        <f t="shared" si="20"/>
        <v/>
      </c>
      <c r="AA17" s="295" t="str" cm="1">
        <f t="array" ref="AA17">_xlfn.IFNA(INDEX($Z$12:$Z$21,MATCH(0,COUNTIF($AA$12:$AA16,$Z$12:$Z$21),0)),"")</f>
        <v/>
      </c>
      <c r="AB17" s="3"/>
      <c r="AC17" s="3"/>
      <c r="AD17" s="3"/>
      <c r="AE17" s="3"/>
      <c r="AF17" s="3"/>
      <c r="AG17" s="3"/>
    </row>
    <row r="18" spans="1:33" ht="16.2">
      <c r="A18" s="32"/>
      <c r="B18" s="34" t="str">
        <f ca="1">OFFSET(L!$C$1,MATCH("Declaration"&amp;ADDRESS(ROW(),COLUMN(),4),L!$A:$A,0)-1,SL,,)</f>
        <v>Address:</v>
      </c>
      <c r="C18" s="67"/>
      <c r="D18" s="400" t="s">
        <v>20164</v>
      </c>
      <c r="E18" s="401"/>
      <c r="F18" s="401"/>
      <c r="G18" s="401"/>
      <c r="H18" s="401"/>
      <c r="I18" s="401"/>
      <c r="J18" s="402"/>
      <c r="K18" s="30"/>
      <c r="L18" s="104"/>
      <c r="P18" s="294" t="str">
        <f>IF(ISBLANK(E13),"",IF(E13="(Delete Mica)",IF(ISBLANK(E15),"",E15),E13))</f>
        <v>Mica</v>
      </c>
      <c r="Q18" s="295" t="str">
        <f t="shared" ref="Q18:Y18" si="21">IF(P19="",P18,IF(P18="",P19,IF(P18&gt;P19,P19,P18)))</f>
        <v>Mica</v>
      </c>
      <c r="R18" s="295" t="str">
        <f t="shared" ref="R18:Z18" si="22">IF(Q18="",Q18,IF(Q17="",Q17,IF(Q17&gt;Q18,Q17,Q18)))</f>
        <v/>
      </c>
      <c r="S18" s="295" t="str">
        <f t="shared" si="21"/>
        <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3"/>
      <c r="AC18" s="3"/>
      <c r="AD18" s="3"/>
      <c r="AE18" s="3"/>
      <c r="AF18" s="3"/>
      <c r="AG18" s="3"/>
    </row>
    <row r="19" spans="1:33" ht="14.4" customHeight="1">
      <c r="A19" s="32"/>
      <c r="B19" s="34" t="str">
        <f ca="1">OFFSET(L!$C$1,MATCH("Declaration"&amp;ADDRESS(ROW(),COLUMN(),4),L!$A:$A,0)-1,SL,,)</f>
        <v>Contact Name (*):</v>
      </c>
      <c r="C19" s="67"/>
      <c r="D19" s="400" t="s">
        <v>20165</v>
      </c>
      <c r="E19" s="401"/>
      <c r="F19" s="401"/>
      <c r="G19" s="401"/>
      <c r="H19" s="401"/>
      <c r="I19" s="401"/>
      <c r="J19" s="402"/>
      <c r="K19" s="30"/>
      <c r="L19" s="104"/>
      <c r="P19" s="294" t="str">
        <f>IF(ISBLANK(G13),"",IF(G13="(Delete Nickel)",IF(ISBLANK(G15),"",G15),G13))</f>
        <v/>
      </c>
      <c r="Q19" s="295" t="str">
        <f t="shared" ref="Q19:Y19" si="23">IF(P19="",P19,IF(P18="",P18,IF(P18&gt;P19,P18,P19)))</f>
        <v/>
      </c>
      <c r="R19" s="295" t="str">
        <f t="shared" ref="R19:Z19" si="24">IF(Q20="",Q19,IF(Q19="",Q20,IF(Q19&gt;Q20,Q20,Q19)))</f>
        <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3"/>
      <c r="AC19" s="3"/>
      <c r="AD19" s="3"/>
      <c r="AE19" s="3"/>
      <c r="AF19" s="3"/>
      <c r="AG19" s="3"/>
    </row>
    <row r="20" spans="1:33" ht="16.2">
      <c r="A20" s="32"/>
      <c r="B20" s="34" t="str">
        <f ca="1">OFFSET(L!$C$1,MATCH("Declaration"&amp;ADDRESS(ROW(),COLUMN(),4),L!$A:$A,0)-1,SL,,)</f>
        <v>Email – Contact (*):</v>
      </c>
      <c r="C20" s="67"/>
      <c r="D20" s="420" t="s">
        <v>20166</v>
      </c>
      <c r="E20" s="421"/>
      <c r="F20" s="421"/>
      <c r="G20" s="421"/>
      <c r="H20" s="421"/>
      <c r="I20" s="421"/>
      <c r="J20" s="422"/>
      <c r="K20" s="30"/>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3"/>
      <c r="AC20" s="3"/>
      <c r="AD20" s="3"/>
      <c r="AE20" s="3"/>
      <c r="AF20" s="3"/>
      <c r="AG20" s="3"/>
    </row>
    <row r="21" spans="1:33" ht="16.2">
      <c r="A21" s="32"/>
      <c r="B21" s="34" t="str">
        <f ca="1">OFFSET(L!$C$1,MATCH("Declaration"&amp;ADDRESS(ROW(),COLUMN(),4),L!$A:$A,0)-1,SL,,)</f>
        <v>Phone – Contact (*):</v>
      </c>
      <c r="C21" s="67"/>
      <c r="D21" s="400" t="s">
        <v>20167</v>
      </c>
      <c r="E21" s="401"/>
      <c r="F21" s="401"/>
      <c r="G21" s="401"/>
      <c r="H21" s="401"/>
      <c r="I21" s="401"/>
      <c r="J21" s="402"/>
      <c r="K21" s="30"/>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3"/>
      <c r="AC21" s="3"/>
      <c r="AD21" s="3"/>
      <c r="AE21" s="3"/>
      <c r="AF21" s="3"/>
      <c r="AG21" s="3"/>
    </row>
    <row r="22" spans="1:33" ht="22.2">
      <c r="A22" s="32"/>
      <c r="B22" s="34" t="str">
        <f ca="1">OFFSET(L!$C$1,MATCH("Declaration"&amp;ADDRESS(ROW(),COLUMN(),4),L!$A:$A,0)-1,SL,,)</f>
        <v>Authorizer (*):</v>
      </c>
      <c r="C22" s="67"/>
      <c r="D22" s="400" t="s">
        <v>20168</v>
      </c>
      <c r="E22" s="401"/>
      <c r="F22" s="401"/>
      <c r="G22" s="401"/>
      <c r="H22" s="401"/>
      <c r="I22" s="401"/>
      <c r="J22" s="402"/>
      <c r="K22" s="30"/>
      <c r="L22" s="98"/>
      <c r="Q22" s="3"/>
      <c r="R22" s="3"/>
      <c r="S22" s="3"/>
      <c r="T22" s="3"/>
      <c r="U22" s="3"/>
      <c r="V22" s="3"/>
      <c r="W22" s="3"/>
      <c r="X22" s="3"/>
      <c r="Y22" s="3"/>
      <c r="Z22" s="3"/>
      <c r="AA22" s="3">
        <f>10-COUNTIF(AA12:AA21,"")</f>
        <v>3</v>
      </c>
      <c r="AB22" s="3"/>
      <c r="AC22" s="3"/>
      <c r="AD22" s="3"/>
      <c r="AE22" s="3"/>
      <c r="AF22" s="3"/>
      <c r="AG22" s="3"/>
    </row>
    <row r="23" spans="1:33" ht="22.2">
      <c r="A23" s="32"/>
      <c r="B23" s="34" t="str">
        <f ca="1">OFFSET(L!$C$1,MATCH("Declaration"&amp;ADDRESS(ROW(),COLUMN(),4),L!$A:$A,0)-1,SL,,)</f>
        <v>Title - Authorizer:</v>
      </c>
      <c r="C23" s="67"/>
      <c r="D23" s="400" t="s">
        <v>20169</v>
      </c>
      <c r="E23" s="401"/>
      <c r="F23" s="401"/>
      <c r="G23" s="401"/>
      <c r="H23" s="401"/>
      <c r="I23" s="401"/>
      <c r="J23" s="402"/>
      <c r="K23" s="30"/>
      <c r="L23" s="98"/>
      <c r="P23" s="3"/>
      <c r="Q23" s="3"/>
      <c r="R23" s="3"/>
      <c r="S23" s="3"/>
      <c r="T23" s="3"/>
      <c r="U23" s="3"/>
      <c r="V23" s="3"/>
      <c r="W23" s="3"/>
      <c r="X23" s="3"/>
      <c r="Y23" s="3"/>
      <c r="Z23" s="3"/>
      <c r="AA23" s="3">
        <f>IF(AA22=0,0.1,AA22)</f>
        <v>3</v>
      </c>
      <c r="AB23" s="3"/>
      <c r="AC23" s="3"/>
      <c r="AD23" s="3"/>
      <c r="AE23" s="3"/>
      <c r="AF23" s="3"/>
      <c r="AG23" s="3"/>
    </row>
    <row r="24" spans="1:33" ht="22.2">
      <c r="A24" s="32"/>
      <c r="B24" s="34" t="str">
        <f ca="1">OFFSET(L!$C$1,MATCH("Declaration"&amp;ADDRESS(ROW(),COLUMN(),4),L!$A:$A,0)-1,SL,,)</f>
        <v>Email - Authorizer (*):</v>
      </c>
      <c r="C24" s="67"/>
      <c r="D24" s="420" t="s">
        <v>20166</v>
      </c>
      <c r="E24" s="421"/>
      <c r="F24" s="421"/>
      <c r="G24" s="421"/>
      <c r="H24" s="421"/>
      <c r="I24" s="421"/>
      <c r="J24" s="422"/>
      <c r="K24" s="30"/>
      <c r="L24" s="98"/>
      <c r="P24" s="3"/>
      <c r="Q24" s="3"/>
      <c r="R24" s="3"/>
      <c r="S24" s="3"/>
      <c r="T24" s="3"/>
      <c r="U24" s="3"/>
      <c r="V24" s="3"/>
      <c r="W24" s="3"/>
      <c r="X24" s="3"/>
      <c r="Y24" s="3"/>
      <c r="Z24" s="3"/>
      <c r="AA24" s="3"/>
      <c r="AB24" s="3"/>
      <c r="AC24" s="3"/>
      <c r="AD24" s="3"/>
      <c r="AE24" s="3"/>
      <c r="AF24" s="3"/>
      <c r="AG24" s="3"/>
    </row>
    <row r="25" spans="1:33" ht="16.2">
      <c r="A25" s="32"/>
      <c r="B25" s="34" t="str">
        <f ca="1">OFFSET(L!$C$1,MATCH("Declaration"&amp;ADDRESS(ROW(),COLUMN(),4),L!$A:$A,0)-1,SL,,)</f>
        <v>Phone - Authorizer:</v>
      </c>
      <c r="C25" s="124"/>
      <c r="D25" s="400" t="s">
        <v>20167</v>
      </c>
      <c r="E25" s="401"/>
      <c r="F25" s="401"/>
      <c r="G25" s="401"/>
      <c r="H25" s="401"/>
      <c r="I25" s="401"/>
      <c r="J25" s="402"/>
      <c r="K25" s="30"/>
      <c r="L25" s="104"/>
      <c r="P25" s="3"/>
      <c r="Q25" s="3"/>
      <c r="R25" s="3"/>
      <c r="S25" s="3"/>
      <c r="T25" s="3"/>
      <c r="U25" s="3"/>
      <c r="V25" s="3"/>
      <c r="W25" s="3"/>
      <c r="X25" s="3"/>
      <c r="Y25" s="3"/>
      <c r="Z25" s="3"/>
      <c r="AA25" s="3"/>
      <c r="AB25" s="3"/>
      <c r="AC25" s="3"/>
      <c r="AD25" s="3"/>
      <c r="AE25" s="3"/>
      <c r="AF25" s="3"/>
      <c r="AG25" s="3"/>
    </row>
    <row r="26" spans="1:33" ht="17.399999999999999">
      <c r="A26" s="32"/>
      <c r="B26" s="34" t="str">
        <f ca="1">OFFSET(L!$C$1,MATCH("Declaration"&amp;ADDRESS(ROW(),COLUMN(),4),L!$A:$A,0)-1,SL,,)</f>
        <v>Effective Date (*):</v>
      </c>
      <c r="C26" s="68"/>
      <c r="D26" s="426">
        <v>46029</v>
      </c>
      <c r="E26" s="427"/>
      <c r="F26" s="194"/>
      <c r="G26" s="195"/>
      <c r="H26" s="195"/>
      <c r="I26" s="195"/>
      <c r="J26" s="195"/>
      <c r="K26" s="30"/>
      <c r="L26" s="102"/>
      <c r="P26" s="3"/>
      <c r="Q26" s="3"/>
      <c r="R26" s="3"/>
      <c r="S26" s="3"/>
      <c r="T26" s="3"/>
      <c r="U26" s="3"/>
      <c r="V26" s="3"/>
      <c r="W26" s="3"/>
      <c r="X26" s="3"/>
      <c r="Y26" s="3"/>
      <c r="Z26" s="3"/>
      <c r="AA26" s="3"/>
      <c r="AB26" s="3"/>
      <c r="AC26" s="3"/>
      <c r="AD26" s="3"/>
      <c r="AE26" s="3"/>
      <c r="AF26" s="3"/>
      <c r="AG26" s="3"/>
    </row>
    <row r="27" spans="1:33" ht="17.399999999999999">
      <c r="A27" s="35"/>
      <c r="B27" s="69"/>
      <c r="C27" s="14"/>
      <c r="D27" s="435"/>
      <c r="E27" s="435"/>
      <c r="F27" s="8"/>
      <c r="G27" s="113"/>
      <c r="H27" s="113"/>
      <c r="I27" s="113"/>
      <c r="J27" s="113"/>
      <c r="K27" s="30"/>
      <c r="L27" s="99"/>
      <c r="P27" s="3"/>
      <c r="Q27" s="3"/>
      <c r="R27" s="3"/>
      <c r="S27" s="3"/>
      <c r="T27" s="3"/>
      <c r="U27" s="3"/>
      <c r="V27" s="3"/>
      <c r="W27" s="3"/>
      <c r="X27" s="3"/>
      <c r="Y27" s="3"/>
      <c r="Z27" s="3"/>
      <c r="AA27" s="3"/>
      <c r="AB27" s="3"/>
      <c r="AC27" s="3"/>
      <c r="AD27" s="3"/>
      <c r="AE27" s="3"/>
      <c r="AF27" s="3"/>
      <c r="AG27" s="3"/>
    </row>
    <row r="28" spans="1:33" ht="16.2">
      <c r="A28" s="36"/>
      <c r="B28" s="436" t="str">
        <f ca="1">OFFSET(L!$C$1,MATCH("Declaration"&amp;ADDRESS(ROW(),COLUMN(),4),L!$A:$A,0)-1,SL,,)</f>
        <v>Answer the following questions 1 - 7 based on the declaration scope indicated above</v>
      </c>
      <c r="C28" s="436"/>
      <c r="D28" s="436"/>
      <c r="E28" s="436"/>
      <c r="F28" s="436"/>
      <c r="G28" s="436"/>
      <c r="H28" s="436"/>
      <c r="I28" s="436"/>
      <c r="J28" s="436"/>
      <c r="K28" s="37"/>
      <c r="L28" s="99"/>
      <c r="P28" s="3"/>
      <c r="Q28" s="3"/>
      <c r="R28" s="3"/>
      <c r="S28" s="3"/>
      <c r="T28" s="3"/>
      <c r="U28" s="3"/>
      <c r="V28" s="3"/>
      <c r="W28" s="3"/>
      <c r="X28" s="3"/>
      <c r="Y28" s="3"/>
      <c r="Z28" s="3"/>
      <c r="AA28" s="3"/>
      <c r="AB28" s="3"/>
      <c r="AC28" s="3"/>
      <c r="AD28" s="3"/>
      <c r="AE28" s="3"/>
      <c r="AF28" s="3"/>
      <c r="AG28" s="3"/>
    </row>
    <row r="29" spans="1:33" ht="48.6">
      <c r="A29" s="35"/>
      <c r="B29" s="38" t="str">
        <f ca="1">OFFSET(L!$C$1,MATCH("Declaration"&amp;ADDRESS(ROW(),COLUMN(),4),L!$A:$A,0)-1,SL,,)</f>
        <v>1) Is any of the specified mineral/metal intentionally added or used in the product(s) or in the production process? (*)</v>
      </c>
      <c r="C29" s="14"/>
      <c r="D29" s="434" t="str">
        <f ca="1">OFFSET(L!$C$1,MATCH("Declaration"&amp;ADDRESS(ROW(),COLUMN(),4),L!$A:$A,0)-1,SL,,)</f>
        <v>Answer</v>
      </c>
      <c r="E29" s="434"/>
      <c r="F29" s="15"/>
      <c r="G29" s="38" t="str">
        <f ca="1">OFFSET(L!$C$1,MATCH("Declaration"&amp;ADDRESS(ROW(),COLUMN(),4),L!$A:$A,0)-1,SL,,)</f>
        <v>Comments</v>
      </c>
      <c r="H29" s="38"/>
      <c r="I29" s="38"/>
      <c r="J29" s="73"/>
      <c r="K29" s="30"/>
      <c r="L29" s="99" t="s">
        <v>15</v>
      </c>
      <c r="P29" s="3"/>
      <c r="Q29" s="3"/>
      <c r="R29" s="3"/>
      <c r="S29" s="3"/>
      <c r="T29" s="3"/>
      <c r="U29" s="3"/>
      <c r="V29" s="3"/>
      <c r="W29" s="3"/>
      <c r="X29" s="3"/>
      <c r="Y29" s="3"/>
      <c r="Z29" s="3"/>
      <c r="AA29" s="3"/>
      <c r="AB29" s="3"/>
      <c r="AC29" s="3"/>
      <c r="AD29" s="3"/>
      <c r="AE29" s="3"/>
      <c r="AF29" s="3"/>
      <c r="AG29" s="3"/>
    </row>
    <row r="30" spans="1:33" ht="22.2">
      <c r="A30" s="35"/>
      <c r="B30" s="298" t="str">
        <f t="shared" ref="B30:B39" si="32">IF(COUNTBLANK(AA12),"",AA12&amp;"(*)")</f>
        <v>Cobalt(*)</v>
      </c>
      <c r="C30" s="29"/>
      <c r="D30" s="423" t="s">
        <v>22</v>
      </c>
      <c r="E30" s="424"/>
      <c r="F30" s="9"/>
      <c r="G30" s="1" t="s">
        <v>20172</v>
      </c>
      <c r="H30" s="389"/>
      <c r="I30" s="389"/>
      <c r="J30" s="390"/>
      <c r="K30" s="30"/>
      <c r="L30" s="105"/>
      <c r="M30">
        <f>IF(AND(B30="",D30&lt;&gt;""),1,0)</f>
        <v>0</v>
      </c>
      <c r="O30" s="39" t="str">
        <f>IF(B30="","","(*)")</f>
        <v>(*)</v>
      </c>
      <c r="P30" s="39" t="str">
        <f>IF(D30="Yes","(*)","")</f>
        <v/>
      </c>
      <c r="Q30" s="39" t="str">
        <f>IF(D42="Yes","(*)","")</f>
        <v/>
      </c>
      <c r="R30" s="3"/>
      <c r="S30" s="3"/>
      <c r="T30" s="3"/>
      <c r="U30" s="3"/>
      <c r="V30" s="3"/>
      <c r="W30" s="3"/>
      <c r="X30" s="3"/>
      <c r="Y30" s="3"/>
      <c r="Z30" s="3"/>
      <c r="AA30" s="3"/>
      <c r="AB30" s="3"/>
      <c r="AC30" s="3"/>
      <c r="AD30" s="3"/>
      <c r="AE30" s="3"/>
      <c r="AF30" s="3"/>
      <c r="AG30" s="3"/>
    </row>
    <row r="31" spans="1:33" ht="22.2">
      <c r="A31" s="35"/>
      <c r="B31" s="298" t="str">
        <f t="shared" si="32"/>
        <v>Lithium(*)</v>
      </c>
      <c r="C31" s="29"/>
      <c r="D31" s="423" t="s">
        <v>22</v>
      </c>
      <c r="E31" s="424"/>
      <c r="F31" s="9"/>
      <c r="G31" s="1" t="s">
        <v>20172</v>
      </c>
      <c r="H31" s="389"/>
      <c r="I31" s="389"/>
      <c r="J31" s="390"/>
      <c r="K31" s="30"/>
      <c r="L31" s="105"/>
      <c r="M31">
        <f t="shared" ref="M31:M39" si="33">IF(AND(B31="",D31&lt;&gt;""),1,0)</f>
        <v>0</v>
      </c>
      <c r="O31" s="39" t="str">
        <f t="shared" ref="O31:O39" si="34">IF(B31="","","(*)")</f>
        <v>(*)</v>
      </c>
      <c r="P31" s="39" t="str">
        <f t="shared" ref="P31:P39" si="35">IF(D31="Yes","(*)","")</f>
        <v/>
      </c>
      <c r="Q31" s="39" t="str">
        <f t="shared" ref="Q31:Q39" si="36">IF(D43="Yes","(*)","")</f>
        <v/>
      </c>
      <c r="R31" s="3"/>
      <c r="S31" s="3"/>
      <c r="T31" s="3"/>
      <c r="U31" s="3"/>
      <c r="V31" s="3"/>
      <c r="W31" s="3"/>
      <c r="X31" s="3"/>
      <c r="Y31" s="3"/>
      <c r="Z31" s="3"/>
      <c r="AA31" s="3"/>
      <c r="AB31" s="3"/>
      <c r="AC31" s="3"/>
      <c r="AD31" s="3"/>
      <c r="AE31" s="3"/>
      <c r="AF31" s="3"/>
      <c r="AG31" s="3"/>
    </row>
    <row r="32" spans="1:33" ht="22.2">
      <c r="A32" s="35"/>
      <c r="B32" s="298" t="str">
        <f t="shared" si="32"/>
        <v>Mica(*)</v>
      </c>
      <c r="C32" s="29"/>
      <c r="D32" s="423" t="s">
        <v>22</v>
      </c>
      <c r="E32" s="424"/>
      <c r="F32" s="9"/>
      <c r="G32" s="1" t="s">
        <v>20172</v>
      </c>
      <c r="H32" s="389"/>
      <c r="I32" s="389"/>
      <c r="J32" s="390"/>
      <c r="K32" s="30"/>
      <c r="L32" s="105"/>
      <c r="M32">
        <f t="shared" si="33"/>
        <v>0</v>
      </c>
      <c r="O32" s="39" t="str">
        <f t="shared" si="34"/>
        <v>(*)</v>
      </c>
      <c r="P32" s="39" t="str">
        <f t="shared" si="35"/>
        <v/>
      </c>
      <c r="Q32" s="39" t="str">
        <f t="shared" si="36"/>
        <v/>
      </c>
      <c r="R32" s="3"/>
      <c r="S32" s="3"/>
      <c r="T32" s="3"/>
      <c r="U32" s="3"/>
      <c r="V32" s="3"/>
      <c r="W32" s="3"/>
      <c r="X32" s="3"/>
      <c r="Y32" s="3"/>
      <c r="Z32" s="3"/>
      <c r="AA32" s="3"/>
      <c r="AB32" s="3"/>
      <c r="AC32" s="3"/>
      <c r="AD32" s="3"/>
      <c r="AE32" s="3"/>
      <c r="AF32" s="3"/>
      <c r="AG32" s="3"/>
    </row>
    <row r="33" spans="1:33" ht="22.2">
      <c r="A33" s="35"/>
      <c r="B33" s="298" t="str">
        <f t="shared" si="32"/>
        <v/>
      </c>
      <c r="C33" s="29"/>
      <c r="D33" s="423"/>
      <c r="E33" s="424"/>
      <c r="F33" s="9"/>
      <c r="G33" s="1"/>
      <c r="H33" s="389"/>
      <c r="I33" s="389"/>
      <c r="J33" s="390"/>
      <c r="K33" s="30"/>
      <c r="L33" s="105"/>
      <c r="M33">
        <f t="shared" si="33"/>
        <v>0</v>
      </c>
      <c r="O33" s="39" t="str">
        <f t="shared" si="34"/>
        <v/>
      </c>
      <c r="P33" s="39" t="str">
        <f t="shared" si="35"/>
        <v/>
      </c>
      <c r="Q33" s="39" t="str">
        <f t="shared" si="36"/>
        <v/>
      </c>
      <c r="R33" s="3"/>
      <c r="S33" s="3"/>
      <c r="T33" s="3"/>
      <c r="U33" s="3"/>
      <c r="V33" s="3"/>
      <c r="W33" s="3"/>
      <c r="X33" s="3"/>
      <c r="Y33" s="3"/>
      <c r="Z33" s="3"/>
      <c r="AA33" s="3"/>
      <c r="AB33" s="3"/>
      <c r="AC33" s="3"/>
      <c r="AD33" s="3"/>
      <c r="AE33" s="3"/>
      <c r="AF33" s="3"/>
      <c r="AG33" s="3"/>
    </row>
    <row r="34" spans="1:33" ht="22.2">
      <c r="A34" s="35"/>
      <c r="B34" s="298" t="str">
        <f t="shared" si="32"/>
        <v/>
      </c>
      <c r="C34" s="29"/>
      <c r="D34" s="423"/>
      <c r="E34" s="424"/>
      <c r="F34" s="9"/>
      <c r="G34" s="1"/>
      <c r="H34" s="389"/>
      <c r="I34" s="389"/>
      <c r="J34" s="390"/>
      <c r="K34" s="30"/>
      <c r="L34" s="105"/>
      <c r="M34">
        <f t="shared" si="33"/>
        <v>0</v>
      </c>
      <c r="O34" s="39" t="str">
        <f t="shared" si="34"/>
        <v/>
      </c>
      <c r="P34" s="39" t="str">
        <f t="shared" si="35"/>
        <v/>
      </c>
      <c r="Q34" s="39" t="str">
        <f t="shared" si="36"/>
        <v/>
      </c>
      <c r="R34" s="3"/>
      <c r="S34" s="3"/>
      <c r="T34" s="3"/>
      <c r="U34" s="3"/>
      <c r="V34" s="3"/>
      <c r="W34" s="3"/>
      <c r="X34" s="3"/>
      <c r="Y34" s="3"/>
      <c r="Z34" s="3"/>
      <c r="AA34" s="3"/>
      <c r="AB34" s="3"/>
      <c r="AC34" s="3"/>
      <c r="AD34" s="3"/>
      <c r="AE34" s="3"/>
      <c r="AF34" s="3"/>
      <c r="AG34" s="3"/>
    </row>
    <row r="35" spans="1:33" ht="23.1" customHeight="1">
      <c r="A35" s="35"/>
      <c r="B35" s="298" t="str">
        <f t="shared" si="32"/>
        <v/>
      </c>
      <c r="C35" s="29"/>
      <c r="D35" s="423"/>
      <c r="E35" s="424"/>
      <c r="F35" s="9"/>
      <c r="G35" s="1"/>
      <c r="H35" s="389"/>
      <c r="I35" s="389"/>
      <c r="J35" s="390"/>
      <c r="K35" s="30"/>
      <c r="L35" s="105"/>
      <c r="M35">
        <f t="shared" si="33"/>
        <v>0</v>
      </c>
      <c r="O35" s="39" t="str">
        <f t="shared" si="34"/>
        <v/>
      </c>
      <c r="P35" s="39" t="str">
        <f t="shared" si="35"/>
        <v/>
      </c>
      <c r="Q35" s="39" t="str">
        <f t="shared" si="36"/>
        <v/>
      </c>
      <c r="R35" s="3"/>
      <c r="S35" s="3"/>
      <c r="T35" s="3"/>
      <c r="U35" s="3"/>
      <c r="V35" s="3"/>
      <c r="W35" s="3"/>
      <c r="X35" s="3"/>
      <c r="Y35" s="3"/>
      <c r="Z35" s="3"/>
      <c r="AA35" s="3"/>
      <c r="AB35" s="3"/>
      <c r="AC35" s="3"/>
      <c r="AD35" s="3"/>
      <c r="AE35" s="3"/>
      <c r="AF35" s="3"/>
      <c r="AG35" s="3"/>
    </row>
    <row r="36" spans="1:33" ht="23.1" hidden="1" customHeight="1">
      <c r="A36" s="35"/>
      <c r="B36" s="298" t="str">
        <f t="shared" si="32"/>
        <v/>
      </c>
      <c r="C36" s="29"/>
      <c r="D36" s="423"/>
      <c r="E36" s="424"/>
      <c r="F36" s="9"/>
      <c r="G36" s="1"/>
      <c r="H36" s="389"/>
      <c r="I36" s="389"/>
      <c r="J36" s="390"/>
      <c r="K36" s="30"/>
      <c r="L36" s="105"/>
      <c r="M36">
        <f t="shared" si="33"/>
        <v>0</v>
      </c>
      <c r="O36" s="39" t="str">
        <f t="shared" si="34"/>
        <v/>
      </c>
      <c r="P36" s="39" t="str">
        <f t="shared" si="35"/>
        <v/>
      </c>
      <c r="Q36" s="39" t="str">
        <f t="shared" si="36"/>
        <v/>
      </c>
      <c r="R36" s="3"/>
      <c r="S36" s="3"/>
      <c r="T36" s="3"/>
      <c r="U36" s="3"/>
      <c r="V36" s="3"/>
      <c r="W36" s="3"/>
      <c r="X36" s="3"/>
      <c r="Y36" s="3"/>
      <c r="Z36" s="3"/>
      <c r="AA36" s="3"/>
      <c r="AB36" s="3"/>
      <c r="AC36" s="3"/>
      <c r="AD36" s="3"/>
      <c r="AE36" s="3"/>
      <c r="AF36" s="3"/>
      <c r="AG36" s="3"/>
    </row>
    <row r="37" spans="1:33" ht="23.1" hidden="1" customHeight="1">
      <c r="A37" s="35"/>
      <c r="B37" s="298" t="str">
        <f t="shared" si="32"/>
        <v/>
      </c>
      <c r="C37" s="29"/>
      <c r="D37" s="423"/>
      <c r="E37" s="424"/>
      <c r="F37" s="9"/>
      <c r="G37" s="1"/>
      <c r="H37" s="389"/>
      <c r="I37" s="389"/>
      <c r="J37" s="390"/>
      <c r="K37" s="30"/>
      <c r="L37" s="105"/>
      <c r="M37">
        <f t="shared" si="33"/>
        <v>0</v>
      </c>
      <c r="O37" s="39" t="str">
        <f t="shared" si="34"/>
        <v/>
      </c>
      <c r="P37" s="39" t="str">
        <f t="shared" si="35"/>
        <v/>
      </c>
      <c r="Q37" s="39" t="str">
        <f t="shared" si="36"/>
        <v/>
      </c>
      <c r="R37" s="3"/>
      <c r="S37" s="3"/>
      <c r="T37" s="3"/>
      <c r="U37" s="3"/>
      <c r="V37" s="3"/>
      <c r="W37" s="3"/>
      <c r="X37" s="3"/>
      <c r="Y37" s="3"/>
      <c r="Z37" s="3"/>
      <c r="AA37" s="3"/>
      <c r="AB37" s="3"/>
      <c r="AC37" s="3"/>
      <c r="AD37" s="3"/>
      <c r="AE37" s="3"/>
      <c r="AF37" s="3"/>
      <c r="AG37" s="3"/>
    </row>
    <row r="38" spans="1:33" ht="23.1" hidden="1" customHeight="1">
      <c r="A38" s="35"/>
      <c r="B38" s="298" t="str">
        <f t="shared" si="32"/>
        <v/>
      </c>
      <c r="C38" s="29"/>
      <c r="D38" s="423"/>
      <c r="E38" s="424"/>
      <c r="F38" s="9"/>
      <c r="G38" s="1"/>
      <c r="H38" s="389"/>
      <c r="I38" s="389"/>
      <c r="J38" s="390"/>
      <c r="K38" s="30"/>
      <c r="L38" s="105"/>
      <c r="M38">
        <f t="shared" si="33"/>
        <v>0</v>
      </c>
      <c r="O38" s="39" t="str">
        <f t="shared" si="34"/>
        <v/>
      </c>
      <c r="P38" s="39" t="str">
        <f t="shared" si="35"/>
        <v/>
      </c>
      <c r="Q38" s="39" t="str">
        <f t="shared" si="36"/>
        <v/>
      </c>
      <c r="R38" s="3"/>
      <c r="S38" s="3"/>
      <c r="T38" s="3"/>
      <c r="U38" s="3"/>
      <c r="V38" s="3"/>
      <c r="W38" s="3"/>
      <c r="X38" s="3"/>
      <c r="Y38" s="3"/>
      <c r="Z38" s="3"/>
      <c r="AA38" s="3"/>
      <c r="AB38" s="3"/>
      <c r="AC38" s="3"/>
      <c r="AD38" s="3"/>
      <c r="AE38" s="3"/>
      <c r="AF38" s="3"/>
      <c r="AG38" s="3"/>
    </row>
    <row r="39" spans="1:33" ht="23.1" hidden="1" customHeight="1">
      <c r="A39" s="35"/>
      <c r="B39" s="298" t="str">
        <f t="shared" si="32"/>
        <v/>
      </c>
      <c r="C39" s="29"/>
      <c r="D39" s="423"/>
      <c r="E39" s="424"/>
      <c r="F39" s="9"/>
      <c r="G39" s="1"/>
      <c r="H39" s="389"/>
      <c r="I39" s="389"/>
      <c r="J39" s="390"/>
      <c r="K39" s="30"/>
      <c r="L39" s="105"/>
      <c r="M39">
        <f t="shared" si="33"/>
        <v>0</v>
      </c>
      <c r="O39" s="39" t="str">
        <f t="shared" si="34"/>
        <v/>
      </c>
      <c r="P39" s="39" t="str">
        <f t="shared" si="35"/>
        <v/>
      </c>
      <c r="Q39" s="39" t="str">
        <f t="shared" si="36"/>
        <v/>
      </c>
      <c r="R39" s="3"/>
      <c r="S39" s="3"/>
      <c r="T39" s="3"/>
      <c r="U39" s="3"/>
      <c r="V39" s="3"/>
      <c r="W39" s="3"/>
      <c r="X39" s="3"/>
      <c r="Y39" s="3"/>
      <c r="Z39" s="3"/>
      <c r="AA39" s="3"/>
      <c r="AB39" s="3"/>
      <c r="AC39" s="3"/>
      <c r="AD39" s="3"/>
      <c r="AE39" s="3"/>
      <c r="AF39" s="3"/>
      <c r="AG39" s="3"/>
    </row>
    <row r="40" spans="1:33" ht="23.1" customHeight="1">
      <c r="A40" s="35"/>
      <c r="B40" s="40"/>
      <c r="C40" s="7"/>
      <c r="D40" s="222"/>
      <c r="E40" s="19"/>
      <c r="F40" s="19"/>
      <c r="G40" s="40"/>
      <c r="H40" s="114"/>
      <c r="I40" s="114"/>
      <c r="J40" s="114"/>
      <c r="K40" s="30"/>
      <c r="L40" s="99"/>
      <c r="R40" s="3"/>
      <c r="S40" s="3"/>
      <c r="T40" s="3"/>
      <c r="U40" s="3"/>
      <c r="V40" s="3"/>
      <c r="W40" s="3"/>
      <c r="X40" s="3"/>
      <c r="Y40" s="3"/>
      <c r="Z40" s="3"/>
      <c r="AA40" s="3"/>
      <c r="AB40" s="3"/>
      <c r="AC40" s="3"/>
      <c r="AD40" s="3"/>
      <c r="AE40" s="3"/>
      <c r="AF40" s="3"/>
      <c r="AG40" s="3"/>
    </row>
    <row r="41" spans="1:33" ht="18.899999999999999" customHeight="1">
      <c r="A41" s="35"/>
      <c r="B41" s="38" t="str">
        <f ca="1">OFFSET(L!$C$1,MATCH("Declaration"&amp;ADDRESS(ROW(),COLUMN(),4),L!$A:$A,0)-1,SL,,)&amp;Q41</f>
        <v xml:space="preserve">2) Does any of the specified mineral/metal remain in the product(s)? </v>
      </c>
      <c r="C41" s="14"/>
      <c r="D41" s="425" t="str">
        <f ca="1">D29</f>
        <v>Answer</v>
      </c>
      <c r="E41" s="425"/>
      <c r="F41" s="15"/>
      <c r="G41" s="38" t="str">
        <f ca="1">G29</f>
        <v>Comments</v>
      </c>
      <c r="H41" s="38"/>
      <c r="I41" s="38"/>
      <c r="J41" s="73"/>
      <c r="K41" s="30"/>
      <c r="L41" s="99" t="s">
        <v>15</v>
      </c>
      <c r="P41" s="300">
        <f>COUNTIF(D$30:E$39,"No")+COUNTIF(D$30:E$39,"Unknown")+COUNTIF(D$30:E$39,"Not declaring")</f>
        <v>3</v>
      </c>
      <c r="Q41" s="39" t="str">
        <f>IF(P41=AA23,"","(*)")</f>
        <v/>
      </c>
      <c r="R41" s="3"/>
      <c r="S41" s="3"/>
      <c r="T41" s="3"/>
      <c r="U41" s="3"/>
      <c r="V41" s="3"/>
      <c r="W41" s="3"/>
      <c r="X41" s="3"/>
      <c r="Y41" s="3"/>
      <c r="Z41" s="3"/>
      <c r="AA41" s="3"/>
      <c r="AB41" s="3"/>
      <c r="AC41" s="3"/>
      <c r="AD41" s="3"/>
      <c r="AE41" s="3"/>
      <c r="AF41" s="3"/>
      <c r="AG41" s="3"/>
    </row>
    <row r="42" spans="1:33" ht="22.2">
      <c r="A42" s="35"/>
      <c r="B42" s="299" t="str">
        <f t="shared" ref="B42:B51" si="37">IF(ISERROR(AA12),"",AA12&amp;"")&amp;P42</f>
        <v>Cobalt</v>
      </c>
      <c r="C42" s="29"/>
      <c r="D42" s="423"/>
      <c r="E42" s="424"/>
      <c r="F42" s="9"/>
      <c r="G42" s="1"/>
      <c r="H42" s="389"/>
      <c r="I42" s="389"/>
      <c r="J42" s="390"/>
      <c r="K42" s="30"/>
      <c r="L42" s="105"/>
      <c r="M42">
        <f t="shared" ref="M42:M51" si="38">IF(AND(B42="",D42&lt;&gt;""),1,0)</f>
        <v>0</v>
      </c>
      <c r="P42" s="300" t="str">
        <f>IF(OR(D30="No",D30="Unknown",D30="Not declaring"),"",O30)</f>
        <v/>
      </c>
      <c r="R42" s="3"/>
      <c r="S42" s="301" t="str">
        <f>IF(COUNTIF(D42,"Yes"),AA12,"")</f>
        <v/>
      </c>
      <c r="T42" s="302" t="str">
        <f>IF(S43="",S42,IF(S42="",S43,IF(S42&gt;S43,S43,S42)))</f>
        <v/>
      </c>
      <c r="U42" s="302" t="str">
        <f>T42</f>
        <v/>
      </c>
      <c r="V42" s="302" t="str">
        <f t="shared" ref="V42" si="39">IF(U43="",U42,IF(U42="",U43,IF(U42&gt;U43,U43,U42)))</f>
        <v/>
      </c>
      <c r="W42" s="302" t="str">
        <f t="shared" ref="W42" si="40">V42</f>
        <v/>
      </c>
      <c r="X42" s="302" t="str">
        <f t="shared" ref="X42" si="41">IF(W43="",W42,IF(W42="",W43,IF(W42&gt;W43,W43,W42)))</f>
        <v/>
      </c>
      <c r="Y42" s="302" t="str">
        <f t="shared" ref="Y42" si="42">X42</f>
        <v/>
      </c>
      <c r="Z42" s="302" t="str">
        <f t="shared" ref="Z42" si="43">IF(Y43="",Y42,IF(Y42="",Y43,IF(Y42&gt;Y43,Y43,Y42)))</f>
        <v/>
      </c>
      <c r="AA42" s="302" t="str">
        <f t="shared" ref="AA42" si="44">Z42</f>
        <v/>
      </c>
      <c r="AB42" s="302" t="str">
        <f t="shared" ref="AB42" si="45">IF(AA43="",AA42,IF(AA42="",AA43,IF(AA42&gt;AA43,AA43,AA42)))</f>
        <v/>
      </c>
      <c r="AC42" s="302" t="str">
        <f t="shared" ref="AC42" si="46">AB42</f>
        <v/>
      </c>
      <c r="AD42" s="3"/>
      <c r="AE42" s="3"/>
      <c r="AF42" s="3"/>
      <c r="AG42" s="3"/>
    </row>
    <row r="43" spans="1:33" ht="22.2">
      <c r="A43" s="35"/>
      <c r="B43" s="299" t="str">
        <f t="shared" si="37"/>
        <v>Lithium</v>
      </c>
      <c r="C43" s="29"/>
      <c r="D43" s="423"/>
      <c r="E43" s="424"/>
      <c r="F43" s="9"/>
      <c r="G43" s="1"/>
      <c r="H43" s="389"/>
      <c r="I43" s="389"/>
      <c r="J43" s="390"/>
      <c r="K43" s="30"/>
      <c r="L43" s="105"/>
      <c r="M43">
        <f t="shared" si="38"/>
        <v>0</v>
      </c>
      <c r="P43" s="300" t="str">
        <f t="shared" ref="P43:P51" si="47">IF(OR(D31="No",D31="Unknown",D31="Not declaring"),"",O31)</f>
        <v/>
      </c>
      <c r="R43" s="3"/>
      <c r="S43" s="301" t="str">
        <f t="shared" ref="S43:S51" si="48">IF(COUNTIF(D43,"Yes"),AA13,"")</f>
        <v/>
      </c>
      <c r="T43" s="302" t="str">
        <f>IF(S43="",S43,IF(S42="",S42,IF(S42&gt;S43,S42,S43)))</f>
        <v/>
      </c>
      <c r="U43" s="302" t="str">
        <f t="shared" ref="U43" si="49">IF(T44="",T43,IF(T43="",T44,IF(T43&gt;T44,T44,T43)))</f>
        <v/>
      </c>
      <c r="V43" s="302" t="str">
        <f t="shared" ref="V43" si="50">IF(U43="",U43,IF(U42="",U42,IF(U42&gt;U43,U42,U43)))</f>
        <v/>
      </c>
      <c r="W43" s="302" t="str">
        <f t="shared" ref="W43" si="51">IF(V44="",V43,IF(V43="",V44,IF(V43&gt;V44,V44,V43)))</f>
        <v/>
      </c>
      <c r="X43" s="302" t="str">
        <f t="shared" ref="X43" si="52">IF(W43="",W43,IF(W42="",W42,IF(W42&gt;W43,W42,W43)))</f>
        <v/>
      </c>
      <c r="Y43" s="302" t="str">
        <f t="shared" ref="Y43" si="53">IF(X44="",X43,IF(X43="",X44,IF(X43&gt;X44,X44,X43)))</f>
        <v/>
      </c>
      <c r="Z43" s="302" t="str">
        <f t="shared" ref="Z43" si="54">IF(Y43="",Y43,IF(Y42="",Y42,IF(Y42&gt;Y43,Y42,Y43)))</f>
        <v/>
      </c>
      <c r="AA43" s="302" t="str">
        <f t="shared" ref="AA43" si="55">IF(Z44="",Z43,IF(Z43="",Z44,IF(Z43&gt;Z44,Z44,Z43)))</f>
        <v/>
      </c>
      <c r="AB43" s="302" t="str">
        <f t="shared" ref="AB43" si="56">IF(AA43="",AA43,IF(AA42="",AA42,IF(AA42&gt;AA43,AA42,AA43)))</f>
        <v/>
      </c>
      <c r="AC43" s="302" t="str">
        <f t="shared" ref="AC43" si="57">IF(AB44="",AB43,IF(AB43="",AB44,IF(AB43&gt;AB44,AB44,AB43)))</f>
        <v/>
      </c>
      <c r="AD43" s="3"/>
      <c r="AE43" s="3"/>
      <c r="AF43" s="3"/>
      <c r="AG43" s="3"/>
    </row>
    <row r="44" spans="1:33" ht="22.2">
      <c r="A44" s="35"/>
      <c r="B44" s="299" t="str">
        <f t="shared" si="37"/>
        <v>Mica</v>
      </c>
      <c r="C44" s="29"/>
      <c r="D44" s="423"/>
      <c r="E44" s="424"/>
      <c r="F44" s="9"/>
      <c r="G44" s="1"/>
      <c r="H44" s="389"/>
      <c r="I44" s="389"/>
      <c r="J44" s="390"/>
      <c r="K44" s="30"/>
      <c r="L44" s="105"/>
      <c r="M44">
        <f t="shared" si="38"/>
        <v>0</v>
      </c>
      <c r="P44" s="300" t="str">
        <f t="shared" si="47"/>
        <v/>
      </c>
      <c r="R44" s="3"/>
      <c r="S44" s="301" t="str">
        <f t="shared" si="48"/>
        <v/>
      </c>
      <c r="T44" s="302" t="str">
        <f t="shared" ref="T44" si="58">IF(S45="",S44,IF(S44="",S45,IF(S44&gt;S45,S45,S44)))</f>
        <v/>
      </c>
      <c r="U44" s="302" t="str">
        <f t="shared" ref="U44" si="59">IF(T44="",T44,IF(T43="",T43,IF(T43&gt;T44,T43,T44)))</f>
        <v/>
      </c>
      <c r="V44" s="302" t="str">
        <f t="shared" ref="V44" si="60">IF(U45="",U44,IF(U44="",U45,IF(U44&gt;U45,U45,U44)))</f>
        <v/>
      </c>
      <c r="W44" s="302" t="str">
        <f t="shared" ref="W44" si="61">IF(V44="",V44,IF(V43="",V43,IF(V43&gt;V44,V43,V44)))</f>
        <v/>
      </c>
      <c r="X44" s="302" t="str">
        <f t="shared" ref="X44" si="62">IF(W45="",W44,IF(W44="",W45,IF(W44&gt;W45,W45,W44)))</f>
        <v/>
      </c>
      <c r="Y44" s="302" t="str">
        <f t="shared" ref="Y44" si="63">IF(X44="",X44,IF(X43="",X43,IF(X43&gt;X44,X43,X44)))</f>
        <v/>
      </c>
      <c r="Z44" s="302" t="str">
        <f t="shared" ref="Z44" si="64">IF(Y45="",Y44,IF(Y44="",Y45,IF(Y44&gt;Y45,Y45,Y44)))</f>
        <v/>
      </c>
      <c r="AA44" s="302" t="str">
        <f t="shared" ref="AA44" si="65">IF(Z44="",Z44,IF(Z43="",Z43,IF(Z43&gt;Z44,Z43,Z44)))</f>
        <v/>
      </c>
      <c r="AB44" s="302" t="str">
        <f t="shared" ref="AB44" si="66">IF(AA45="",AA44,IF(AA44="",AA45,IF(AA44&gt;AA45,AA45,AA44)))</f>
        <v/>
      </c>
      <c r="AC44" s="302" t="str">
        <f t="shared" ref="AC44" si="67">IF(AB44="",AB44,IF(AB43="",AB43,IF(AB43&gt;AB44,AB43,AB44)))</f>
        <v/>
      </c>
      <c r="AD44" s="3"/>
      <c r="AE44" s="3"/>
      <c r="AF44" s="3"/>
      <c r="AG44" s="3"/>
    </row>
    <row r="45" spans="1:33" ht="22.2">
      <c r="A45" s="35"/>
      <c r="B45" s="299" t="str">
        <f t="shared" si="37"/>
        <v/>
      </c>
      <c r="C45" s="29"/>
      <c r="D45" s="423"/>
      <c r="E45" s="424"/>
      <c r="F45" s="9"/>
      <c r="G45" s="1"/>
      <c r="H45" s="389"/>
      <c r="I45" s="389"/>
      <c r="J45" s="390"/>
      <c r="K45" s="30"/>
      <c r="L45" s="105"/>
      <c r="M45">
        <f t="shared" si="38"/>
        <v>0</v>
      </c>
      <c r="P45" s="300" t="str">
        <f t="shared" si="47"/>
        <v/>
      </c>
      <c r="R45" s="3"/>
      <c r="S45" s="301" t="str">
        <f t="shared" si="48"/>
        <v/>
      </c>
      <c r="T45" s="302" t="str">
        <f t="shared" ref="T45" si="68">IF(S45="",S45,IF(S44="",S44,IF(S44&gt;S45,S44,S45)))</f>
        <v/>
      </c>
      <c r="U45" s="302" t="str">
        <f t="shared" ref="U45" si="69">IF(T46="",T45,IF(T45="",T46,IF(T45&gt;T46,T46,T45)))</f>
        <v/>
      </c>
      <c r="V45" s="302" t="str">
        <f t="shared" ref="V45" si="70">IF(U45="",U45,IF(U44="",U44,IF(U44&gt;U45,U44,U45)))</f>
        <v/>
      </c>
      <c r="W45" s="302" t="str">
        <f t="shared" ref="W45" si="71">IF(V46="",V45,IF(V45="",V46,IF(V45&gt;V46,V46,V45)))</f>
        <v/>
      </c>
      <c r="X45" s="302" t="str">
        <f t="shared" ref="X45" si="72">IF(W45="",W45,IF(W44="",W44,IF(W44&gt;W45,W44,W45)))</f>
        <v/>
      </c>
      <c r="Y45" s="302" t="str">
        <f t="shared" ref="Y45" si="73">IF(X46="",X45,IF(X45="",X46,IF(X45&gt;X46,X46,X45)))</f>
        <v/>
      </c>
      <c r="Z45" s="302" t="str">
        <f t="shared" ref="Z45" si="74">IF(Y45="",Y45,IF(Y44="",Y44,IF(Y44&gt;Y45,Y44,Y45)))</f>
        <v/>
      </c>
      <c r="AA45" s="302" t="str">
        <f t="shared" ref="AA45" si="75">IF(Z46="",Z45,IF(Z45="",Z46,IF(Z45&gt;Z46,Z46,Z45)))</f>
        <v/>
      </c>
      <c r="AB45" s="302" t="str">
        <f t="shared" ref="AB45" si="76">IF(AA45="",AA45,IF(AA44="",AA44,IF(AA44&gt;AA45,AA44,AA45)))</f>
        <v/>
      </c>
      <c r="AC45" s="302" t="str">
        <f t="shared" ref="AC45" si="77">IF(AB46="",AB45,IF(AB45="",AB46,IF(AB45&gt;AB46,AB46,AB45)))</f>
        <v/>
      </c>
      <c r="AD45" s="3"/>
      <c r="AE45" s="3"/>
      <c r="AF45" s="3"/>
      <c r="AG45" s="3"/>
    </row>
    <row r="46" spans="1:33" ht="22.2">
      <c r="A46" s="35"/>
      <c r="B46" s="299" t="str">
        <f t="shared" si="37"/>
        <v/>
      </c>
      <c r="C46" s="29"/>
      <c r="D46" s="423"/>
      <c r="E46" s="424"/>
      <c r="F46" s="9"/>
      <c r="G46" s="1"/>
      <c r="H46" s="389"/>
      <c r="I46" s="389"/>
      <c r="J46" s="390"/>
      <c r="K46" s="30"/>
      <c r="L46" s="105"/>
      <c r="M46">
        <f t="shared" si="38"/>
        <v>0</v>
      </c>
      <c r="P46" s="300" t="str">
        <f t="shared" si="47"/>
        <v/>
      </c>
      <c r="R46" s="3"/>
      <c r="S46" s="301" t="str">
        <f t="shared" si="48"/>
        <v/>
      </c>
      <c r="T46" s="302" t="str">
        <f t="shared" ref="T46" si="78">IF(S47="",S46,IF(S46="",S47,IF(S46&gt;S47,S47,S46)))</f>
        <v/>
      </c>
      <c r="U46" s="302" t="str">
        <f t="shared" ref="U46" si="79">IF(T46="",T46,IF(T45="",T45,IF(T45&gt;T46,T45,T46)))</f>
        <v/>
      </c>
      <c r="V46" s="302" t="str">
        <f t="shared" ref="V46" si="80">IF(U47="",U46,IF(U46="",U47,IF(U46&gt;U47,U47,U46)))</f>
        <v/>
      </c>
      <c r="W46" s="302" t="str">
        <f t="shared" ref="W46" si="81">IF(V46="",V46,IF(V45="",V45,IF(V45&gt;V46,V45,V46)))</f>
        <v/>
      </c>
      <c r="X46" s="302" t="str">
        <f t="shared" ref="X46" si="82">IF(W47="",W46,IF(W46="",W47,IF(W46&gt;W47,W47,W46)))</f>
        <v/>
      </c>
      <c r="Y46" s="302" t="str">
        <f t="shared" ref="Y46" si="83">IF(X46="",X46,IF(X45="",X45,IF(X45&gt;X46,X45,X46)))</f>
        <v/>
      </c>
      <c r="Z46" s="302" t="str">
        <f t="shared" ref="Z46" si="84">IF(Y47="",Y46,IF(Y46="",Y47,IF(Y46&gt;Y47,Y47,Y46)))</f>
        <v/>
      </c>
      <c r="AA46" s="302" t="str">
        <f t="shared" ref="AA46" si="85">IF(Z46="",Z46,IF(Z45="",Z45,IF(Z45&gt;Z46,Z45,Z46)))</f>
        <v/>
      </c>
      <c r="AB46" s="302" t="str">
        <f t="shared" ref="AB46" si="86">IF(AA47="",AA46,IF(AA46="",AA47,IF(AA46&gt;AA47,AA47,AA46)))</f>
        <v/>
      </c>
      <c r="AC46" s="302" t="str">
        <f t="shared" ref="AC46" si="87">IF(AB46="",AB46,IF(AB45="",AB45,IF(AB45&gt;AB46,AB45,AB46)))</f>
        <v/>
      </c>
      <c r="AD46" s="3"/>
      <c r="AE46" s="3"/>
      <c r="AF46" s="3"/>
      <c r="AG46" s="3"/>
    </row>
    <row r="47" spans="1:33" ht="23.1" customHeight="1">
      <c r="A47" s="35"/>
      <c r="B47" s="299" t="str">
        <f t="shared" si="37"/>
        <v/>
      </c>
      <c r="C47" s="29"/>
      <c r="D47" s="423"/>
      <c r="E47" s="424"/>
      <c r="F47" s="9"/>
      <c r="G47" s="1"/>
      <c r="H47" s="389"/>
      <c r="I47" s="389"/>
      <c r="J47" s="390"/>
      <c r="K47" s="30"/>
      <c r="L47" s="105"/>
      <c r="M47">
        <f t="shared" si="38"/>
        <v>0</v>
      </c>
      <c r="P47" s="300" t="str">
        <f t="shared" si="47"/>
        <v/>
      </c>
      <c r="R47" s="3"/>
      <c r="S47" s="301" t="str">
        <f t="shared" si="48"/>
        <v/>
      </c>
      <c r="T47" s="302" t="str">
        <f t="shared" ref="T47" si="88">IF(S47="",S47,IF(S46="",S46,IF(S46&gt;S47,S46,S47)))</f>
        <v/>
      </c>
      <c r="U47" s="302" t="str">
        <f t="shared" ref="U47" si="89">IF(T48="",T47,IF(T47="",T48,IF(T47&gt;T48,T48,T47)))</f>
        <v/>
      </c>
      <c r="V47" s="302" t="str">
        <f t="shared" ref="V47" si="90">IF(U47="",U47,IF(U46="",U46,IF(U46&gt;U47,U46,U47)))</f>
        <v/>
      </c>
      <c r="W47" s="302" t="str">
        <f t="shared" ref="W47" si="91">IF(V48="",V47,IF(V47="",V48,IF(V47&gt;V48,V48,V47)))</f>
        <v/>
      </c>
      <c r="X47" s="302" t="str">
        <f t="shared" ref="X47" si="92">IF(W47="",W47,IF(W46="",W46,IF(W46&gt;W47,W46,W47)))</f>
        <v/>
      </c>
      <c r="Y47" s="302" t="str">
        <f t="shared" ref="Y47" si="93">IF(X48="",X47,IF(X47="",X48,IF(X47&gt;X48,X48,X47)))</f>
        <v/>
      </c>
      <c r="Z47" s="302" t="str">
        <f t="shared" ref="Z47" si="94">IF(Y47="",Y47,IF(Y46="",Y46,IF(Y46&gt;Y47,Y46,Y47)))</f>
        <v/>
      </c>
      <c r="AA47" s="302" t="str">
        <f t="shared" ref="AA47" si="95">IF(Z48="",Z47,IF(Z47="",Z48,IF(Z47&gt;Z48,Z48,Z47)))</f>
        <v/>
      </c>
      <c r="AB47" s="302" t="str">
        <f t="shared" ref="AB47" si="96">IF(AA47="",AA47,IF(AA46="",AA46,IF(AA46&gt;AA47,AA46,AA47)))</f>
        <v/>
      </c>
      <c r="AC47" s="302" t="str">
        <f t="shared" ref="AC47" si="97">IF(AB48="",AB47,IF(AB47="",AB48,IF(AB47&gt;AB48,AB48,AB47)))</f>
        <v/>
      </c>
      <c r="AD47" s="3"/>
      <c r="AE47" s="3"/>
      <c r="AF47" s="3"/>
      <c r="AG47" s="3"/>
    </row>
    <row r="48" spans="1:33" ht="23.1" hidden="1" customHeight="1">
      <c r="A48" s="35"/>
      <c r="B48" s="299" t="str">
        <f t="shared" si="37"/>
        <v/>
      </c>
      <c r="C48" s="29"/>
      <c r="D48" s="423"/>
      <c r="E48" s="424"/>
      <c r="F48" s="9"/>
      <c r="G48" s="1"/>
      <c r="H48" s="389"/>
      <c r="I48" s="389"/>
      <c r="J48" s="390"/>
      <c r="K48" s="30"/>
      <c r="L48" s="105"/>
      <c r="M48">
        <f t="shared" si="38"/>
        <v>0</v>
      </c>
      <c r="P48" s="300" t="str">
        <f t="shared" si="47"/>
        <v/>
      </c>
      <c r="R48" s="3"/>
      <c r="S48" s="301" t="str">
        <f t="shared" si="48"/>
        <v/>
      </c>
      <c r="T48" s="302" t="str">
        <f t="shared" ref="T48" si="98">IF(S49="",S48,IF(S48="",S49,IF(S48&gt;S49,S49,S48)))</f>
        <v/>
      </c>
      <c r="U48" s="302" t="str">
        <f t="shared" ref="U48" si="99">IF(T48="",T48,IF(T47="",T47,IF(T47&gt;T48,T47,T48)))</f>
        <v/>
      </c>
      <c r="V48" s="302" t="str">
        <f t="shared" ref="V48" si="100">IF(U49="",U48,IF(U48="",U49,IF(U48&gt;U49,U49,U48)))</f>
        <v/>
      </c>
      <c r="W48" s="302" t="str">
        <f t="shared" ref="W48" si="101">IF(V48="",V48,IF(V47="",V47,IF(V47&gt;V48,V47,V48)))</f>
        <v/>
      </c>
      <c r="X48" s="302" t="str">
        <f t="shared" ref="X48" si="102">IF(W49="",W48,IF(W48="",W49,IF(W48&gt;W49,W49,W48)))</f>
        <v/>
      </c>
      <c r="Y48" s="302" t="str">
        <f t="shared" ref="Y48" si="103">IF(X48="",X48,IF(X47="",X47,IF(X47&gt;X48,X47,X48)))</f>
        <v/>
      </c>
      <c r="Z48" s="302" t="str">
        <f t="shared" ref="Z48" si="104">IF(Y49="",Y48,IF(Y48="",Y49,IF(Y48&gt;Y49,Y49,Y48)))</f>
        <v/>
      </c>
      <c r="AA48" s="302" t="str">
        <f t="shared" ref="AA48" si="105">IF(Z48="",Z48,IF(Z47="",Z47,IF(Z47&gt;Z48,Z47,Z48)))</f>
        <v/>
      </c>
      <c r="AB48" s="302" t="str">
        <f t="shared" ref="AB48" si="106">IF(AA49="",AA48,IF(AA48="",AA49,IF(AA48&gt;AA49,AA49,AA48)))</f>
        <v/>
      </c>
      <c r="AC48" s="302" t="str">
        <f t="shared" ref="AC48" si="107">IF(AB48="",AB48,IF(AB47="",AB47,IF(AB47&gt;AB48,AB47,AB48)))</f>
        <v/>
      </c>
      <c r="AD48" s="3"/>
      <c r="AE48" s="3"/>
      <c r="AF48" s="3"/>
      <c r="AG48" s="3"/>
    </row>
    <row r="49" spans="1:33" ht="23.1" hidden="1" customHeight="1">
      <c r="A49" s="35"/>
      <c r="B49" s="299" t="str">
        <f t="shared" si="37"/>
        <v/>
      </c>
      <c r="C49" s="29"/>
      <c r="D49" s="423"/>
      <c r="E49" s="424"/>
      <c r="F49" s="9"/>
      <c r="G49" s="1"/>
      <c r="H49" s="389"/>
      <c r="I49" s="389"/>
      <c r="J49" s="390"/>
      <c r="K49" s="30"/>
      <c r="L49" s="105"/>
      <c r="M49">
        <f t="shared" si="38"/>
        <v>0</v>
      </c>
      <c r="P49" s="300" t="str">
        <f t="shared" si="47"/>
        <v/>
      </c>
      <c r="R49" s="3"/>
      <c r="S49" s="301" t="str">
        <f t="shared" si="48"/>
        <v/>
      </c>
      <c r="T49" s="302" t="str">
        <f t="shared" ref="T49" si="108">IF(S49="",S49,IF(S48="",S48,IF(S48&gt;S49,S48,S49)))</f>
        <v/>
      </c>
      <c r="U49" s="302" t="str">
        <f t="shared" ref="U49" si="109">IF(T50="",T49,IF(T49="",T50,IF(T49&gt;T50,T50,T49)))</f>
        <v/>
      </c>
      <c r="V49" s="302" t="str">
        <f t="shared" ref="V49" si="110">IF(U49="",U49,IF(U48="",U48,IF(U48&gt;U49,U48,U49)))</f>
        <v/>
      </c>
      <c r="W49" s="302" t="str">
        <f t="shared" ref="W49" si="111">IF(V50="",V49,IF(V49="",V50,IF(V49&gt;V50,V50,V49)))</f>
        <v/>
      </c>
      <c r="X49" s="302" t="str">
        <f t="shared" ref="X49" si="112">IF(W49="",W49,IF(W48="",W48,IF(W48&gt;W49,W48,W49)))</f>
        <v/>
      </c>
      <c r="Y49" s="302" t="str">
        <f t="shared" ref="Y49" si="113">IF(X50="",X49,IF(X49="",X50,IF(X49&gt;X50,X50,X49)))</f>
        <v/>
      </c>
      <c r="Z49" s="302" t="str">
        <f t="shared" ref="Z49" si="114">IF(Y49="",Y49,IF(Y48="",Y48,IF(Y48&gt;Y49,Y48,Y49)))</f>
        <v/>
      </c>
      <c r="AA49" s="302" t="str">
        <f t="shared" ref="AA49" si="115">IF(Z50="",Z49,IF(Z49="",Z50,IF(Z49&gt;Z50,Z50,Z49)))</f>
        <v/>
      </c>
      <c r="AB49" s="302" t="str">
        <f t="shared" ref="AB49" si="116">IF(AA49="",AA49,IF(AA48="",AA48,IF(AA48&gt;AA49,AA48,AA49)))</f>
        <v/>
      </c>
      <c r="AC49" s="302" t="str">
        <f t="shared" ref="AC49" si="117">IF(AB50="",AB49,IF(AB49="",AB50,IF(AB49&gt;AB50,AB50,AB49)))</f>
        <v/>
      </c>
      <c r="AD49" s="3"/>
      <c r="AE49" s="3"/>
      <c r="AF49" s="3"/>
      <c r="AG49" s="3"/>
    </row>
    <row r="50" spans="1:33" ht="23.1" hidden="1" customHeight="1">
      <c r="A50" s="35"/>
      <c r="B50" s="299" t="str">
        <f t="shared" si="37"/>
        <v/>
      </c>
      <c r="C50" s="29"/>
      <c r="D50" s="423"/>
      <c r="E50" s="424"/>
      <c r="F50" s="9"/>
      <c r="G50" s="1"/>
      <c r="H50" s="389"/>
      <c r="I50" s="389"/>
      <c r="J50" s="390"/>
      <c r="K50" s="30"/>
      <c r="L50" s="105"/>
      <c r="M50">
        <f t="shared" si="38"/>
        <v>0</v>
      </c>
      <c r="P50" s="300" t="str">
        <f t="shared" si="47"/>
        <v/>
      </c>
      <c r="R50" s="3"/>
      <c r="S50" s="301" t="str">
        <f t="shared" si="48"/>
        <v/>
      </c>
      <c r="T50" s="302" t="str">
        <f t="shared" ref="T50" si="118">IF(S51="",S50,IF(S50="",S51,IF(S50&gt;S51,S51,S50)))</f>
        <v/>
      </c>
      <c r="U50" s="302" t="str">
        <f t="shared" ref="U50" si="119">IF(T50="",T50,IF(T49="",T49,IF(T49&gt;T50,T49,T50)))</f>
        <v/>
      </c>
      <c r="V50" s="302" t="str">
        <f t="shared" ref="V50" si="120">IF(U51="",U50,IF(U50="",U51,IF(U50&gt;U51,U51,U50)))</f>
        <v/>
      </c>
      <c r="W50" s="302" t="str">
        <f t="shared" ref="W50" si="121">IF(V50="",V50,IF(V49="",V49,IF(V49&gt;V50,V49,V50)))</f>
        <v/>
      </c>
      <c r="X50" s="302" t="str">
        <f t="shared" ref="X50" si="122">IF(W51="",W50,IF(W50="",W51,IF(W50&gt;W51,W51,W50)))</f>
        <v/>
      </c>
      <c r="Y50" s="302" t="str">
        <f t="shared" ref="Y50" si="123">IF(X50="",X50,IF(X49="",X49,IF(X49&gt;X50,X49,X50)))</f>
        <v/>
      </c>
      <c r="Z50" s="302" t="str">
        <f t="shared" ref="Z50" si="124">IF(Y51="",Y50,IF(Y50="",Y51,IF(Y50&gt;Y51,Y51,Y50)))</f>
        <v/>
      </c>
      <c r="AA50" s="302" t="str">
        <f t="shared" ref="AA50" si="125">IF(Z50="",Z50,IF(Z49="",Z49,IF(Z49&gt;Z50,Z49,Z50)))</f>
        <v/>
      </c>
      <c r="AB50" s="302" t="str">
        <f t="shared" ref="AB50" si="126">IF(AA51="",AA50,IF(AA50="",AA51,IF(AA50&gt;AA51,AA51,AA50)))</f>
        <v/>
      </c>
      <c r="AC50" s="302" t="str">
        <f t="shared" ref="AC50" si="127">IF(AB50="",AB50,IF(AB49="",AB49,IF(AB49&gt;AB50,AB49,AB50)))</f>
        <v/>
      </c>
      <c r="AD50" s="3"/>
      <c r="AE50" s="3"/>
      <c r="AF50" s="3"/>
      <c r="AG50" s="3"/>
    </row>
    <row r="51" spans="1:33" ht="23.1" hidden="1" customHeight="1">
      <c r="A51" s="35"/>
      <c r="B51" s="299" t="str">
        <f t="shared" si="37"/>
        <v/>
      </c>
      <c r="C51" s="29"/>
      <c r="D51" s="423"/>
      <c r="E51" s="424"/>
      <c r="F51" s="9"/>
      <c r="G51" s="1"/>
      <c r="H51" s="389"/>
      <c r="I51" s="389"/>
      <c r="J51" s="390"/>
      <c r="K51" s="30"/>
      <c r="L51" s="105"/>
      <c r="M51">
        <f t="shared" si="38"/>
        <v>0</v>
      </c>
      <c r="P51" s="300" t="str">
        <f t="shared" si="47"/>
        <v/>
      </c>
      <c r="R51" s="3"/>
      <c r="S51" s="301" t="str">
        <f t="shared" si="48"/>
        <v/>
      </c>
      <c r="T51" s="302" t="str">
        <f t="shared" ref="T51" si="128">IF(S51="",S51,IF(S50="",S50,IF(S50&gt;S51,S50,S51)))</f>
        <v/>
      </c>
      <c r="U51" s="302" t="str">
        <f>T51</f>
        <v/>
      </c>
      <c r="V51" s="302" t="str">
        <f t="shared" ref="V51" si="129">IF(U51="",U51,IF(U50="",U50,IF(U50&gt;U51,U50,U51)))</f>
        <v/>
      </c>
      <c r="W51" s="302" t="str">
        <f t="shared" ref="W51" si="130">V51</f>
        <v/>
      </c>
      <c r="X51" s="302" t="str">
        <f t="shared" ref="X51" si="131">IF(W51="",W51,IF(W50="",W50,IF(W50&gt;W51,W50,W51)))</f>
        <v/>
      </c>
      <c r="Y51" s="302" t="str">
        <f t="shared" ref="Y51" si="132">X51</f>
        <v/>
      </c>
      <c r="Z51" s="302" t="str">
        <f t="shared" ref="Z51" si="133">IF(Y51="",Y51,IF(Y50="",Y50,IF(Y50&gt;Y51,Y50,Y51)))</f>
        <v/>
      </c>
      <c r="AA51" s="302" t="str">
        <f t="shared" ref="AA51" si="134">Z51</f>
        <v/>
      </c>
      <c r="AB51" s="302" t="str">
        <f t="shared" ref="AB51" si="135">IF(AA51="",AA51,IF(AA50="",AA50,IF(AA50&gt;AA51,AA50,AA51)))</f>
        <v/>
      </c>
      <c r="AC51" s="302" t="str">
        <f t="shared" ref="AC51" si="136">AB51</f>
        <v/>
      </c>
      <c r="AD51" s="3"/>
      <c r="AE51" s="3"/>
      <c r="AF51" s="3"/>
      <c r="AG51" s="3"/>
    </row>
    <row r="52" spans="1:33" ht="23.1" customHeight="1">
      <c r="A52" s="35"/>
      <c r="B52" s="19"/>
      <c r="C52" s="7"/>
      <c r="D52" s="222"/>
      <c r="E52" s="19"/>
      <c r="F52" s="19"/>
      <c r="G52" s="19"/>
      <c r="H52" s="114"/>
      <c r="I52" s="114"/>
      <c r="J52" s="114"/>
      <c r="K52" s="30"/>
      <c r="L52" s="99"/>
      <c r="R52" s="3"/>
      <c r="S52" s="3"/>
      <c r="T52" s="3"/>
      <c r="U52" s="3"/>
      <c r="V52" s="3"/>
      <c r="W52" s="3"/>
      <c r="X52" s="3"/>
      <c r="Y52" s="3"/>
      <c r="Z52" s="3"/>
      <c r="AA52" s="3"/>
      <c r="AB52" s="3"/>
      <c r="AC52" s="3"/>
      <c r="AD52" s="3"/>
      <c r="AE52" s="3"/>
      <c r="AF52" s="3"/>
      <c r="AG52" s="3"/>
    </row>
    <row r="53" spans="1:33" ht="55.5" customHeight="1">
      <c r="A53" s="35"/>
      <c r="B53" s="38"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7"/>
      <c r="D53" s="425" t="str">
        <f ca="1">D29</f>
        <v>Answer</v>
      </c>
      <c r="E53" s="425"/>
      <c r="F53" s="15"/>
      <c r="G53" s="38" t="str">
        <f ca="1">G29</f>
        <v>Comments</v>
      </c>
      <c r="H53" s="430"/>
      <c r="I53" s="430"/>
      <c r="J53" s="430"/>
      <c r="K53" s="30"/>
      <c r="L53" s="99" t="s">
        <v>18</v>
      </c>
      <c r="P53" s="39">
        <f>COUNTIF(D$30:E$39,"No")+COUNTIF(D$30:E$39,"Unknown")+COUNTIF(D$30:E$39,"Not declaring")+COUNTIF(D$42:E$51,"No")+COUNTIF(D$42:E$51,"Unknown")</f>
        <v>3</v>
      </c>
      <c r="Q53" s="39" t="str">
        <f>IF(P53=AA23,"","(*)")</f>
        <v/>
      </c>
      <c r="R53" s="3"/>
      <c r="S53" s="3"/>
      <c r="T53" s="3"/>
      <c r="U53" s="3"/>
      <c r="V53" s="3"/>
      <c r="W53" s="3"/>
      <c r="X53" s="3"/>
      <c r="Y53" s="3">
        <v>37</v>
      </c>
      <c r="Z53" s="3"/>
      <c r="AA53" s="3"/>
      <c r="AB53" s="3"/>
      <c r="AC53" s="3"/>
      <c r="AD53" s="3"/>
      <c r="AE53" s="3"/>
      <c r="AF53" s="3"/>
      <c r="AG53" s="3"/>
    </row>
    <row r="54" spans="1:33" ht="22.2">
      <c r="A54" s="35"/>
      <c r="B54" s="299" t="str">
        <f>IF(ISERROR(AA$12),"",AA$12&amp;"")&amp;P$54</f>
        <v>Cobalt</v>
      </c>
      <c r="C54" s="7"/>
      <c r="D54" s="423"/>
      <c r="E54" s="424"/>
      <c r="F54" s="41"/>
      <c r="G54" s="1"/>
      <c r="H54" s="389"/>
      <c r="I54" s="389"/>
      <c r="J54" s="390"/>
      <c r="K54" s="30"/>
      <c r="L54" s="105"/>
      <c r="M54">
        <f t="shared" ref="M54:M63" si="137">IF(AND(B54="",D54&lt;&gt;""),1,0)</f>
        <v>0</v>
      </c>
      <c r="P54" s="300" t="str">
        <f>IF(OR(D30="No",D30="Unknown",D30="Not declaring",D42="No",D42="Unknown"),"",O30)</f>
        <v/>
      </c>
      <c r="Q54" s="3"/>
      <c r="R54" s="3"/>
      <c r="S54" s="3"/>
      <c r="T54" s="3"/>
      <c r="U54" s="3"/>
      <c r="V54" s="3"/>
      <c r="W54" s="3"/>
      <c r="X54" s="3"/>
      <c r="Y54" s="3">
        <v>38</v>
      </c>
      <c r="Z54" s="3"/>
      <c r="AA54" s="3"/>
      <c r="AB54" s="3"/>
      <c r="AC54" s="3"/>
      <c r="AD54" s="3"/>
      <c r="AE54" s="3"/>
      <c r="AF54" s="3"/>
    </row>
    <row r="55" spans="1:33" ht="22.2">
      <c r="A55" s="35"/>
      <c r="B55" s="299" t="str">
        <f>IF(ISERROR(AA$13),"",AA$13&amp;"")&amp;P$55</f>
        <v>Lithium</v>
      </c>
      <c r="C55" s="7"/>
      <c r="D55" s="423"/>
      <c r="E55" s="424"/>
      <c r="F55" s="41"/>
      <c r="G55" s="1"/>
      <c r="H55" s="389"/>
      <c r="I55" s="389"/>
      <c r="J55" s="390"/>
      <c r="K55" s="30"/>
      <c r="L55" s="105"/>
      <c r="M55">
        <f t="shared" si="137"/>
        <v>0</v>
      </c>
      <c r="P55" s="300" t="str">
        <f t="shared" ref="P55:P63" si="138">IF(OR(D31="No",D31="Unknown",D31="Not declaring",D43="No",D43="Unknown"),"",O31)</f>
        <v/>
      </c>
      <c r="Q55" s="3"/>
      <c r="R55" s="3"/>
      <c r="S55" s="3"/>
      <c r="T55" s="3"/>
      <c r="U55" s="3"/>
      <c r="V55" s="3"/>
      <c r="W55" s="3"/>
      <c r="X55" s="3"/>
      <c r="Y55" s="3">
        <v>39</v>
      </c>
      <c r="Z55" s="3"/>
      <c r="AA55" s="3"/>
      <c r="AB55" s="3"/>
      <c r="AC55" s="3"/>
      <c r="AD55" s="3"/>
      <c r="AE55" s="3"/>
      <c r="AF55" s="3"/>
    </row>
    <row r="56" spans="1:33" ht="21.9" customHeight="1">
      <c r="A56" s="35"/>
      <c r="B56" s="299" t="str">
        <f>IF(ISERROR(AA$14),"",AA$14&amp;"")&amp;P$56</f>
        <v>Mica</v>
      </c>
      <c r="C56" s="7"/>
      <c r="D56" s="423"/>
      <c r="E56" s="424"/>
      <c r="F56" s="41"/>
      <c r="G56" s="1"/>
      <c r="H56" s="389"/>
      <c r="I56" s="389"/>
      <c r="J56" s="390"/>
      <c r="K56" s="30"/>
      <c r="L56" s="105"/>
      <c r="M56">
        <f t="shared" si="137"/>
        <v>0</v>
      </c>
      <c r="P56" s="300" t="str">
        <f t="shared" si="138"/>
        <v/>
      </c>
      <c r="Q56" s="3"/>
      <c r="R56" s="3"/>
      <c r="S56" s="3"/>
      <c r="T56" s="3"/>
      <c r="U56" s="3"/>
      <c r="V56" s="3"/>
      <c r="W56" s="3"/>
      <c r="X56" s="3"/>
      <c r="Y56" s="3">
        <v>40</v>
      </c>
      <c r="Z56" s="3"/>
      <c r="AA56" s="3"/>
      <c r="AB56" s="3"/>
      <c r="AC56" s="3"/>
      <c r="AD56" s="3"/>
      <c r="AE56" s="3"/>
      <c r="AF56" s="3"/>
    </row>
    <row r="57" spans="1:33" ht="21.9" customHeight="1">
      <c r="A57" s="35"/>
      <c r="B57" s="299" t="str">
        <f>IF(ISERROR(AA$15),"",AA$15&amp;"")&amp;P$57</f>
        <v/>
      </c>
      <c r="C57" s="7"/>
      <c r="D57" s="423"/>
      <c r="E57" s="424"/>
      <c r="F57" s="41"/>
      <c r="G57" s="1"/>
      <c r="H57" s="389"/>
      <c r="I57" s="389"/>
      <c r="J57" s="390"/>
      <c r="K57" s="30"/>
      <c r="L57" s="105"/>
      <c r="M57">
        <f t="shared" si="137"/>
        <v>0</v>
      </c>
      <c r="P57" s="300" t="str">
        <f t="shared" si="138"/>
        <v/>
      </c>
      <c r="Q57" s="3"/>
      <c r="R57" s="3"/>
      <c r="S57" s="3"/>
      <c r="T57" s="3"/>
      <c r="U57" s="3"/>
      <c r="V57" s="3"/>
      <c r="W57" s="3"/>
      <c r="X57" s="3"/>
      <c r="Y57" s="3">
        <v>41</v>
      </c>
      <c r="Z57" s="3"/>
      <c r="AA57" s="3"/>
      <c r="AB57" s="3"/>
      <c r="AC57" s="3"/>
      <c r="AD57" s="3"/>
      <c r="AE57" s="3"/>
      <c r="AF57" s="3"/>
    </row>
    <row r="58" spans="1:33" ht="22.2">
      <c r="A58" s="35"/>
      <c r="B58" s="299" t="str">
        <f>IF(ISERROR(AA$16),"",AA$16&amp;"")&amp;P$58</f>
        <v/>
      </c>
      <c r="C58" s="7"/>
      <c r="D58" s="423"/>
      <c r="E58" s="424"/>
      <c r="F58" s="41"/>
      <c r="G58" s="1"/>
      <c r="H58" s="389"/>
      <c r="I58" s="389"/>
      <c r="J58" s="390"/>
      <c r="K58" s="30"/>
      <c r="L58" s="105"/>
      <c r="M58">
        <f t="shared" si="137"/>
        <v>0</v>
      </c>
      <c r="P58" s="300" t="str">
        <f t="shared" si="138"/>
        <v/>
      </c>
      <c r="Q58" s="3"/>
      <c r="R58" s="3"/>
      <c r="S58" s="3"/>
      <c r="T58" s="3"/>
      <c r="U58" s="3"/>
      <c r="V58" s="3"/>
      <c r="W58" s="3"/>
      <c r="X58" s="3"/>
      <c r="Y58" s="3">
        <v>39</v>
      </c>
      <c r="Z58" s="3"/>
      <c r="AA58" s="3"/>
      <c r="AB58" s="3"/>
      <c r="AC58" s="3"/>
      <c r="AD58" s="3"/>
      <c r="AE58" s="3"/>
      <c r="AF58" s="3"/>
    </row>
    <row r="59" spans="1:33" ht="23.1" customHeight="1">
      <c r="A59" s="35"/>
      <c r="B59" s="299" t="str">
        <f>IF(ISERROR(AA$17),"",AA$17&amp;"")&amp;P$59</f>
        <v/>
      </c>
      <c r="C59" s="7"/>
      <c r="D59" s="423"/>
      <c r="E59" s="424"/>
      <c r="F59" s="41"/>
      <c r="G59" s="1"/>
      <c r="H59" s="389"/>
      <c r="I59" s="389"/>
      <c r="J59" s="390"/>
      <c r="K59" s="30"/>
      <c r="L59" s="105"/>
      <c r="M59">
        <f t="shared" si="137"/>
        <v>0</v>
      </c>
      <c r="P59" s="300" t="str">
        <f t="shared" si="138"/>
        <v/>
      </c>
      <c r="Q59" s="3"/>
      <c r="R59" s="3"/>
      <c r="S59" s="3"/>
      <c r="T59" s="3"/>
      <c r="U59" s="3"/>
      <c r="V59" s="3"/>
      <c r="W59" s="3"/>
      <c r="X59" s="3"/>
      <c r="Y59" s="3">
        <v>39</v>
      </c>
      <c r="Z59" s="3"/>
      <c r="AA59" s="3"/>
      <c r="AB59" s="3"/>
      <c r="AC59" s="3"/>
      <c r="AD59" s="3"/>
      <c r="AE59" s="3"/>
      <c r="AF59" s="3"/>
    </row>
    <row r="60" spans="1:33" ht="23.1" hidden="1" customHeight="1">
      <c r="A60" s="35"/>
      <c r="B60" s="299" t="str">
        <f>IF(ISERROR(AA$18),"",AA$18&amp;"")&amp;P$60</f>
        <v/>
      </c>
      <c r="C60" s="7"/>
      <c r="D60" s="423"/>
      <c r="E60" s="424"/>
      <c r="F60" s="41"/>
      <c r="G60" s="1"/>
      <c r="H60" s="389"/>
      <c r="I60" s="389"/>
      <c r="J60" s="390"/>
      <c r="K60" s="30"/>
      <c r="L60" s="105"/>
      <c r="M60">
        <f t="shared" si="137"/>
        <v>0</v>
      </c>
      <c r="P60" s="300" t="str">
        <f t="shared" si="138"/>
        <v/>
      </c>
      <c r="Q60" s="3"/>
      <c r="R60" s="3"/>
      <c r="S60" s="3"/>
      <c r="T60" s="3"/>
      <c r="U60" s="3"/>
      <c r="V60" s="3"/>
      <c r="W60" s="3"/>
      <c r="X60" s="3"/>
      <c r="Y60" s="3">
        <v>39</v>
      </c>
      <c r="Z60" s="3"/>
      <c r="AA60" s="3"/>
      <c r="AB60" s="3"/>
      <c r="AC60" s="3"/>
      <c r="AD60" s="3"/>
      <c r="AE60" s="3"/>
      <c r="AF60" s="3"/>
    </row>
    <row r="61" spans="1:33" ht="23.1" hidden="1" customHeight="1">
      <c r="A61" s="35"/>
      <c r="B61" s="299" t="str">
        <f>IF(ISERROR(AA$19),"",AA$19&amp;"")&amp;P$61</f>
        <v/>
      </c>
      <c r="C61" s="7"/>
      <c r="D61" s="423"/>
      <c r="E61" s="424"/>
      <c r="F61" s="41"/>
      <c r="G61" s="1"/>
      <c r="H61" s="389"/>
      <c r="I61" s="389"/>
      <c r="J61" s="390"/>
      <c r="K61" s="30"/>
      <c r="L61" s="105"/>
      <c r="M61">
        <f t="shared" si="137"/>
        <v>0</v>
      </c>
      <c r="P61" s="300" t="str">
        <f t="shared" si="138"/>
        <v/>
      </c>
      <c r="Q61" s="3"/>
      <c r="R61" s="3"/>
      <c r="S61" s="3"/>
      <c r="T61" s="3"/>
      <c r="U61" s="3"/>
      <c r="V61" s="3"/>
      <c r="W61" s="3"/>
      <c r="X61" s="3"/>
      <c r="Y61" s="3">
        <v>39</v>
      </c>
      <c r="Z61" s="3"/>
      <c r="AA61" s="3"/>
      <c r="AB61" s="3"/>
      <c r="AC61" s="3"/>
      <c r="AD61" s="3"/>
      <c r="AE61" s="3"/>
      <c r="AF61" s="3"/>
    </row>
    <row r="62" spans="1:33" ht="23.1" hidden="1" customHeight="1">
      <c r="A62" s="35"/>
      <c r="B62" s="299" t="str">
        <f>IF(ISERROR(AA$20),"",AA$20&amp;"")&amp;P$62</f>
        <v/>
      </c>
      <c r="C62" s="7"/>
      <c r="D62" s="423"/>
      <c r="E62" s="424"/>
      <c r="F62" s="41"/>
      <c r="G62" s="1"/>
      <c r="H62" s="389"/>
      <c r="I62" s="389"/>
      <c r="J62" s="390"/>
      <c r="K62" s="30"/>
      <c r="L62" s="105"/>
      <c r="M62">
        <f t="shared" si="137"/>
        <v>0</v>
      </c>
      <c r="P62" s="300" t="str">
        <f t="shared" si="138"/>
        <v/>
      </c>
      <c r="Q62" s="3"/>
      <c r="R62" s="3"/>
      <c r="S62" s="3"/>
      <c r="T62" s="3"/>
      <c r="U62" s="3"/>
      <c r="V62" s="3"/>
      <c r="W62" s="3"/>
      <c r="X62" s="3"/>
      <c r="Y62" s="3">
        <v>39</v>
      </c>
      <c r="Z62" s="3"/>
      <c r="AA62" s="3"/>
      <c r="AB62" s="3"/>
      <c r="AC62" s="3"/>
      <c r="AD62" s="3"/>
      <c r="AE62" s="3"/>
      <c r="AF62" s="3"/>
    </row>
    <row r="63" spans="1:33" ht="23.1" hidden="1" customHeight="1">
      <c r="A63" s="35"/>
      <c r="B63" s="299" t="str">
        <f>IF(ISERROR(AA$21),"",AA$21&amp;"")&amp;P$63</f>
        <v/>
      </c>
      <c r="C63" s="7"/>
      <c r="D63" s="423"/>
      <c r="E63" s="424"/>
      <c r="F63" s="41"/>
      <c r="G63" s="1"/>
      <c r="H63" s="389"/>
      <c r="I63" s="389"/>
      <c r="J63" s="390"/>
      <c r="K63" s="30"/>
      <c r="L63" s="105"/>
      <c r="M63">
        <f t="shared" si="137"/>
        <v>0</v>
      </c>
      <c r="P63" s="300" t="str">
        <f t="shared" si="138"/>
        <v/>
      </c>
      <c r="Q63" s="3"/>
      <c r="R63" s="3"/>
      <c r="S63" s="3"/>
      <c r="T63" s="3"/>
      <c r="U63" s="3"/>
      <c r="V63" s="3"/>
      <c r="W63" s="3"/>
      <c r="X63" s="3"/>
      <c r="Y63" s="3">
        <v>39</v>
      </c>
      <c r="Z63" s="3"/>
      <c r="AA63" s="3"/>
      <c r="AB63" s="3"/>
      <c r="AC63" s="3"/>
      <c r="AD63" s="3"/>
      <c r="AE63" s="3"/>
      <c r="AF63" s="3"/>
    </row>
    <row r="64" spans="1:33" ht="23.1" customHeight="1">
      <c r="A64" s="35"/>
      <c r="B64" s="19"/>
      <c r="C64" s="7"/>
      <c r="D64" s="19"/>
      <c r="E64" s="19"/>
      <c r="F64" s="74"/>
      <c r="G64" s="19"/>
      <c r="H64" s="114"/>
      <c r="I64" s="114"/>
      <c r="J64" s="114"/>
      <c r="K64" s="30"/>
      <c r="L64" s="99"/>
      <c r="Q64" s="3"/>
      <c r="R64" s="3"/>
      <c r="S64" s="3"/>
      <c r="T64" s="3"/>
      <c r="U64" s="3"/>
      <c r="V64" s="3"/>
      <c r="W64" s="3"/>
      <c r="X64" s="3"/>
      <c r="Y64" s="3">
        <v>42</v>
      </c>
      <c r="Z64" s="3"/>
      <c r="AA64" s="3"/>
      <c r="AB64" s="3"/>
      <c r="AC64" s="3"/>
      <c r="AD64" s="3"/>
      <c r="AE64" s="3"/>
      <c r="AF64" s="3"/>
      <c r="AG64" s="3"/>
    </row>
    <row r="65" spans="1:33" ht="39.9" customHeight="1">
      <c r="A65" s="35"/>
      <c r="B65" s="38" t="str">
        <f ca="1">OFFSET(L!$C$1,MATCH("Declaration"&amp;ADDRESS(ROW(),COLUMN(),4),L!$A:$A,0)-1,SL,,)&amp;Q53</f>
        <v>4) Does 100 percent of the specified mineral/metal originate from recycled or scrap sources?</v>
      </c>
      <c r="C65" s="7"/>
      <c r="D65" s="425" t="str">
        <f ca="1">D29</f>
        <v>Answer</v>
      </c>
      <c r="E65" s="425"/>
      <c r="F65" s="15"/>
      <c r="G65" s="38" t="str">
        <f ca="1">G29</f>
        <v>Comments</v>
      </c>
      <c r="H65" s="38"/>
      <c r="I65" s="38"/>
      <c r="J65" s="73"/>
      <c r="K65" s="30"/>
      <c r="L65" s="99" t="s">
        <v>18</v>
      </c>
      <c r="O65" s="34"/>
      <c r="P65" s="3"/>
      <c r="Q65" s="3"/>
      <c r="R65" s="3"/>
      <c r="S65" s="3"/>
      <c r="T65" s="3"/>
      <c r="U65" s="3"/>
      <c r="V65" s="3"/>
      <c r="W65" s="3"/>
      <c r="X65" s="3"/>
      <c r="Y65" s="3">
        <v>43</v>
      </c>
      <c r="Z65" s="3"/>
      <c r="AA65" s="3"/>
      <c r="AB65" s="3"/>
      <c r="AC65" s="3"/>
      <c r="AD65" s="3"/>
      <c r="AE65" s="3"/>
      <c r="AF65" s="3"/>
      <c r="AG65" s="3"/>
    </row>
    <row r="66" spans="1:33" ht="22.2">
      <c r="A66" s="35"/>
      <c r="B66" s="299" t="str">
        <f>IF(ISERROR(AA$12),"",AA$12&amp;"")&amp;P$54</f>
        <v>Cobalt</v>
      </c>
      <c r="C66" s="7"/>
      <c r="D66" s="423"/>
      <c r="E66" s="424"/>
      <c r="F66" s="41"/>
      <c r="G66" s="1"/>
      <c r="H66" s="389"/>
      <c r="I66" s="389"/>
      <c r="J66" s="390"/>
      <c r="K66" s="30"/>
      <c r="L66" s="105"/>
      <c r="M66">
        <f t="shared" ref="M66:M75" si="139">IF(AND(B66="",D66&lt;&gt;""),1,0)</f>
        <v>0</v>
      </c>
      <c r="P66" s="3"/>
      <c r="Q66" s="3"/>
      <c r="R66" s="3"/>
      <c r="S66" s="3"/>
      <c r="T66" s="3"/>
      <c r="U66" s="3"/>
      <c r="V66" s="3"/>
      <c r="W66" s="3"/>
      <c r="X66" s="3"/>
      <c r="Y66" s="3">
        <v>44</v>
      </c>
      <c r="Z66" s="3"/>
      <c r="AA66" s="3"/>
      <c r="AB66" s="3"/>
      <c r="AC66" s="3"/>
      <c r="AD66" s="3"/>
      <c r="AE66" s="3"/>
      <c r="AF66" s="3"/>
      <c r="AG66" s="3"/>
    </row>
    <row r="67" spans="1:33" ht="20.100000000000001" customHeight="1">
      <c r="A67" s="35"/>
      <c r="B67" s="299" t="str">
        <f>IF(ISERROR(AA$13),"",AA$13&amp;"")&amp;P$55</f>
        <v>Lithium</v>
      </c>
      <c r="C67" s="7"/>
      <c r="D67" s="423"/>
      <c r="E67" s="424"/>
      <c r="F67" s="41"/>
      <c r="G67" s="1"/>
      <c r="H67" s="389"/>
      <c r="I67" s="389"/>
      <c r="J67" s="390"/>
      <c r="K67" s="30"/>
      <c r="L67" s="105"/>
      <c r="M67">
        <f t="shared" si="139"/>
        <v>0</v>
      </c>
      <c r="P67" s="3"/>
      <c r="Q67" s="3"/>
      <c r="R67" s="3"/>
      <c r="S67" s="3"/>
      <c r="T67" s="3"/>
      <c r="U67" s="3"/>
      <c r="V67" s="3"/>
      <c r="W67" s="3"/>
      <c r="X67" s="3"/>
      <c r="Y67" s="3">
        <v>45</v>
      </c>
      <c r="Z67" s="3"/>
      <c r="AA67" s="3"/>
      <c r="AB67" s="3"/>
      <c r="AC67" s="3"/>
      <c r="AD67" s="3"/>
      <c r="AE67" s="3"/>
      <c r="AF67" s="3"/>
      <c r="AG67" s="3"/>
    </row>
    <row r="68" spans="1:33" ht="20.100000000000001" customHeight="1">
      <c r="A68" s="35"/>
      <c r="B68" s="299" t="str">
        <f>IF(ISERROR(AA$14),"",AA$14&amp;"")&amp;P$56</f>
        <v>Mica</v>
      </c>
      <c r="C68" s="7"/>
      <c r="D68" s="423"/>
      <c r="E68" s="424"/>
      <c r="F68" s="41"/>
      <c r="G68" s="1"/>
      <c r="H68" s="389"/>
      <c r="I68" s="389"/>
      <c r="J68" s="390"/>
      <c r="K68" s="30"/>
      <c r="L68" s="105"/>
      <c r="M68">
        <f t="shared" si="139"/>
        <v>0</v>
      </c>
      <c r="P68" s="3"/>
      <c r="Q68" s="3"/>
      <c r="R68" s="3"/>
      <c r="S68" s="3"/>
      <c r="T68" s="3"/>
      <c r="U68" s="3"/>
      <c r="V68" s="3"/>
      <c r="W68" s="3"/>
      <c r="X68" s="3"/>
      <c r="Y68" s="3">
        <v>45</v>
      </c>
      <c r="Z68" s="3"/>
      <c r="AA68" s="3"/>
      <c r="AB68" s="3"/>
      <c r="AC68" s="3"/>
      <c r="AD68" s="3"/>
      <c r="AE68" s="3"/>
      <c r="AF68" s="3"/>
      <c r="AG68" s="3"/>
    </row>
    <row r="69" spans="1:33" ht="20.100000000000001" customHeight="1">
      <c r="A69" s="35"/>
      <c r="B69" s="299" t="str">
        <f>IF(ISERROR(AA$15),"",AA$15&amp;"")&amp;P$57</f>
        <v/>
      </c>
      <c r="C69" s="7"/>
      <c r="D69" s="423"/>
      <c r="E69" s="424"/>
      <c r="F69" s="41"/>
      <c r="G69" s="1"/>
      <c r="H69" s="389"/>
      <c r="I69" s="389"/>
      <c r="J69" s="390"/>
      <c r="K69" s="30"/>
      <c r="L69" s="105"/>
      <c r="M69">
        <f t="shared" si="139"/>
        <v>0</v>
      </c>
      <c r="P69" s="3"/>
      <c r="Q69" s="3"/>
      <c r="R69" s="3"/>
      <c r="S69" s="3"/>
      <c r="T69" s="3"/>
      <c r="U69" s="3"/>
      <c r="V69" s="3"/>
      <c r="W69" s="3"/>
      <c r="X69" s="3"/>
      <c r="Y69" s="3">
        <v>45</v>
      </c>
      <c r="Z69" s="3"/>
      <c r="AA69" s="3"/>
      <c r="AB69" s="3"/>
      <c r="AC69" s="3"/>
      <c r="AD69" s="3"/>
      <c r="AE69" s="3"/>
      <c r="AF69" s="3"/>
      <c r="AG69" s="3"/>
    </row>
    <row r="70" spans="1:33" ht="20.100000000000001" customHeight="1">
      <c r="A70" s="35"/>
      <c r="B70" s="299" t="str">
        <f>IF(ISERROR(AA$16),"",AA$16&amp;"")&amp;P$58</f>
        <v/>
      </c>
      <c r="C70" s="7"/>
      <c r="D70" s="423"/>
      <c r="E70" s="424"/>
      <c r="F70" s="41"/>
      <c r="G70" s="1"/>
      <c r="H70" s="389"/>
      <c r="I70" s="389"/>
      <c r="J70" s="390"/>
      <c r="K70" s="30"/>
      <c r="L70" s="105"/>
      <c r="M70">
        <f t="shared" si="139"/>
        <v>0</v>
      </c>
      <c r="P70" s="3"/>
      <c r="Q70" s="3"/>
      <c r="R70" s="3"/>
      <c r="S70" s="3"/>
      <c r="T70" s="3"/>
      <c r="U70" s="3"/>
      <c r="V70" s="3"/>
      <c r="W70" s="3"/>
      <c r="X70" s="3"/>
      <c r="Y70" s="3">
        <v>45</v>
      </c>
      <c r="Z70" s="3"/>
      <c r="AA70" s="3"/>
      <c r="AB70" s="3"/>
      <c r="AC70" s="3"/>
      <c r="AD70" s="3"/>
      <c r="AE70" s="3"/>
      <c r="AF70" s="3"/>
      <c r="AG70" s="3"/>
    </row>
    <row r="71" spans="1:33" ht="23.1" customHeight="1">
      <c r="A71" s="35"/>
      <c r="B71" s="299" t="str">
        <f>IF(ISERROR(AA$17),"",AA$17&amp;"")&amp;P$59</f>
        <v/>
      </c>
      <c r="C71" s="7"/>
      <c r="D71" s="423"/>
      <c r="E71" s="424"/>
      <c r="F71" s="41"/>
      <c r="G71" s="1"/>
      <c r="H71" s="389"/>
      <c r="I71" s="389"/>
      <c r="J71" s="390"/>
      <c r="K71" s="30"/>
      <c r="L71" s="105"/>
      <c r="M71">
        <f t="shared" si="139"/>
        <v>0</v>
      </c>
      <c r="P71" s="3"/>
      <c r="Q71" s="3"/>
      <c r="R71" s="3"/>
      <c r="S71" s="3"/>
      <c r="T71" s="3"/>
      <c r="U71" s="3"/>
      <c r="V71" s="3"/>
      <c r="W71" s="3"/>
      <c r="X71" s="3"/>
      <c r="Y71" s="3">
        <v>45</v>
      </c>
      <c r="Z71" s="3"/>
      <c r="AA71" s="3"/>
      <c r="AB71" s="3"/>
      <c r="AC71" s="3"/>
      <c r="AD71" s="3"/>
      <c r="AE71" s="3"/>
      <c r="AF71" s="3"/>
      <c r="AG71" s="3"/>
    </row>
    <row r="72" spans="1:33" ht="23.1" hidden="1" customHeight="1">
      <c r="A72" s="35"/>
      <c r="B72" s="299" t="str">
        <f>IF(ISERROR(AA$18),"",AA$18&amp;"")&amp;P$60</f>
        <v/>
      </c>
      <c r="C72" s="7"/>
      <c r="D72" s="423"/>
      <c r="E72" s="424"/>
      <c r="F72" s="41"/>
      <c r="G72" s="1"/>
      <c r="H72" s="389"/>
      <c r="I72" s="389"/>
      <c r="J72" s="390"/>
      <c r="K72" s="30"/>
      <c r="L72" s="105"/>
      <c r="M72">
        <f t="shared" si="139"/>
        <v>0</v>
      </c>
      <c r="P72" s="3"/>
      <c r="Q72" s="3"/>
      <c r="R72" s="3"/>
      <c r="S72" s="3"/>
      <c r="T72" s="3"/>
      <c r="U72" s="3"/>
      <c r="V72" s="3"/>
      <c r="W72" s="3"/>
      <c r="X72" s="3"/>
      <c r="Y72" s="3">
        <v>45</v>
      </c>
      <c r="Z72" s="3"/>
      <c r="AA72" s="3"/>
      <c r="AB72" s="3"/>
      <c r="AC72" s="3"/>
      <c r="AD72" s="3"/>
      <c r="AE72" s="3"/>
      <c r="AF72" s="3"/>
      <c r="AG72" s="3"/>
    </row>
    <row r="73" spans="1:33" ht="23.1" hidden="1" customHeight="1">
      <c r="A73" s="35"/>
      <c r="B73" s="299" t="str">
        <f>IF(ISERROR(AA$19),"",AA$19&amp;"")&amp;P$61</f>
        <v/>
      </c>
      <c r="C73" s="7"/>
      <c r="D73" s="423"/>
      <c r="E73" s="424"/>
      <c r="F73" s="41"/>
      <c r="G73" s="1"/>
      <c r="H73" s="389"/>
      <c r="I73" s="389"/>
      <c r="J73" s="390"/>
      <c r="K73" s="30"/>
      <c r="L73" s="105"/>
      <c r="M73">
        <f t="shared" si="139"/>
        <v>0</v>
      </c>
      <c r="P73" s="3"/>
      <c r="Q73" s="3"/>
      <c r="R73" s="3"/>
      <c r="S73" s="3"/>
      <c r="T73" s="3"/>
      <c r="U73" s="3"/>
      <c r="V73" s="3"/>
      <c r="W73" s="3"/>
      <c r="X73" s="3"/>
      <c r="Y73" s="3">
        <v>45</v>
      </c>
      <c r="Z73" s="3"/>
      <c r="AA73" s="3"/>
      <c r="AB73" s="3"/>
      <c r="AC73" s="3"/>
      <c r="AD73" s="3"/>
      <c r="AE73" s="3"/>
      <c r="AF73" s="3"/>
      <c r="AG73" s="3"/>
    </row>
    <row r="74" spans="1:33" ht="23.1" hidden="1" customHeight="1">
      <c r="A74" s="35"/>
      <c r="B74" s="299" t="str">
        <f>IF(ISERROR(AA$20),"",AA$20&amp;"")&amp;P$62</f>
        <v/>
      </c>
      <c r="C74" s="7"/>
      <c r="D74" s="423"/>
      <c r="E74" s="424"/>
      <c r="F74" s="41"/>
      <c r="G74" s="1"/>
      <c r="H74" s="389"/>
      <c r="I74" s="389"/>
      <c r="J74" s="390"/>
      <c r="K74" s="30"/>
      <c r="L74" s="105"/>
      <c r="M74">
        <f t="shared" si="139"/>
        <v>0</v>
      </c>
      <c r="P74" s="3"/>
      <c r="Q74" s="3"/>
      <c r="R74" s="3"/>
      <c r="S74" s="3"/>
      <c r="T74" s="3"/>
      <c r="U74" s="3"/>
      <c r="V74" s="3"/>
      <c r="W74" s="3"/>
      <c r="X74" s="3"/>
      <c r="Y74" s="3">
        <v>45</v>
      </c>
      <c r="Z74" s="3"/>
      <c r="AA74" s="3"/>
      <c r="AB74" s="3"/>
      <c r="AC74" s="3"/>
      <c r="AD74" s="3"/>
      <c r="AE74" s="3"/>
      <c r="AF74" s="3"/>
      <c r="AG74" s="3"/>
    </row>
    <row r="75" spans="1:33" ht="23.1" hidden="1" customHeight="1">
      <c r="A75" s="35"/>
      <c r="B75" s="299" t="str">
        <f>IF(ISERROR(AA$21),"",AA$21&amp;"")&amp;P$63</f>
        <v/>
      </c>
      <c r="C75" s="7"/>
      <c r="D75" s="423"/>
      <c r="E75" s="424"/>
      <c r="F75" s="41"/>
      <c r="G75" s="1"/>
      <c r="H75" s="389"/>
      <c r="I75" s="389"/>
      <c r="J75" s="390"/>
      <c r="K75" s="30"/>
      <c r="L75" s="105"/>
      <c r="M75">
        <f t="shared" si="139"/>
        <v>0</v>
      </c>
      <c r="P75" s="3"/>
      <c r="Q75" s="3"/>
      <c r="R75" s="3"/>
      <c r="S75" s="3"/>
      <c r="T75" s="3"/>
      <c r="U75" s="3"/>
      <c r="V75" s="3"/>
      <c r="W75" s="3"/>
      <c r="X75" s="3"/>
      <c r="Y75" s="3">
        <v>45</v>
      </c>
      <c r="Z75" s="3"/>
      <c r="AA75" s="3"/>
      <c r="AB75" s="3"/>
      <c r="AC75" s="3"/>
      <c r="AD75" s="3"/>
      <c r="AE75" s="3"/>
      <c r="AF75" s="3"/>
      <c r="AG75" s="3"/>
    </row>
    <row r="76" spans="1:33" ht="23.1" customHeight="1">
      <c r="A76" s="35"/>
      <c r="B76" s="19"/>
      <c r="C76" s="7"/>
      <c r="D76" s="19"/>
      <c r="E76" s="19"/>
      <c r="F76" s="74"/>
      <c r="G76" s="19"/>
      <c r="H76" s="114"/>
      <c r="I76" s="114"/>
      <c r="J76" s="114"/>
      <c r="K76" s="30"/>
      <c r="L76" s="99"/>
      <c r="P76" s="3"/>
      <c r="Q76" s="3"/>
      <c r="R76" s="3"/>
      <c r="S76" s="3"/>
      <c r="T76" s="3"/>
      <c r="U76" s="3"/>
      <c r="V76" s="3"/>
      <c r="W76" s="3"/>
      <c r="X76" s="3"/>
      <c r="Y76" s="3">
        <v>48</v>
      </c>
      <c r="Z76" s="3"/>
      <c r="AA76" s="3"/>
      <c r="AB76" s="3"/>
      <c r="AC76" s="3"/>
      <c r="AD76" s="3"/>
      <c r="AE76" s="3"/>
      <c r="AF76" s="3"/>
      <c r="AG76" s="3"/>
    </row>
    <row r="77" spans="1:33" ht="28.5" customHeight="1">
      <c r="A77" s="35"/>
      <c r="B77" s="122" t="str">
        <f ca="1">OFFSET(L!$C$1,MATCH("Declaration"&amp;ADDRESS(ROW(),COLUMN(),4),L!$A:$A,0)-1,SL,,)&amp;Q53</f>
        <v>5) What percentage of relevant suppliers have provided a response to your supply chain survey?</v>
      </c>
      <c r="C77" s="7"/>
      <c r="D77" s="425" t="str">
        <f ca="1">D29</f>
        <v>Answer</v>
      </c>
      <c r="E77" s="425"/>
      <c r="F77" s="15"/>
      <c r="G77" s="38" t="str">
        <f ca="1">G29</f>
        <v>Comments</v>
      </c>
      <c r="H77" s="115"/>
      <c r="I77" s="115"/>
      <c r="J77" s="115"/>
      <c r="K77" s="30"/>
      <c r="L77" s="99" t="s">
        <v>18</v>
      </c>
      <c r="P77" s="3"/>
      <c r="Q77" s="3"/>
      <c r="R77" s="3"/>
      <c r="S77" s="3"/>
      <c r="T77" s="3"/>
      <c r="U77" s="3"/>
      <c r="V77" s="3"/>
      <c r="W77" s="3"/>
      <c r="X77" s="3"/>
      <c r="Y77" s="3">
        <v>49</v>
      </c>
      <c r="Z77" s="3"/>
      <c r="AA77" s="3"/>
      <c r="AB77" s="3"/>
      <c r="AC77" s="3"/>
      <c r="AD77" s="3"/>
      <c r="AE77" s="3"/>
      <c r="AF77" s="3"/>
      <c r="AG77" s="3"/>
    </row>
    <row r="78" spans="1:33" ht="22.2">
      <c r="A78" s="35"/>
      <c r="B78" s="299" t="str">
        <f>IF(ISERROR(AA$12),"",AA$12&amp;"")&amp;P$54</f>
        <v>Cobalt</v>
      </c>
      <c r="C78" s="29"/>
      <c r="D78" s="423"/>
      <c r="E78" s="424"/>
      <c r="F78" s="41"/>
      <c r="G78" s="1"/>
      <c r="H78" s="389"/>
      <c r="I78" s="389"/>
      <c r="J78" s="390"/>
      <c r="K78" s="30"/>
      <c r="L78" s="105"/>
      <c r="M78">
        <f t="shared" ref="M78:M87" si="140">IF(AND(B78="",D78&lt;&gt;""),1,0)</f>
        <v>0</v>
      </c>
      <c r="P78" s="3"/>
      <c r="Q78" s="3"/>
      <c r="R78" s="3"/>
      <c r="S78" s="3"/>
      <c r="T78" s="3"/>
      <c r="U78" s="3"/>
      <c r="V78" s="3"/>
      <c r="W78" s="3"/>
      <c r="X78" s="3"/>
      <c r="Y78" s="3">
        <v>50</v>
      </c>
      <c r="Z78" s="3"/>
      <c r="AA78" s="3"/>
      <c r="AB78" s="3"/>
      <c r="AC78" s="3"/>
      <c r="AD78" s="3"/>
      <c r="AE78" s="3"/>
      <c r="AF78" s="3"/>
      <c r="AG78" s="3"/>
    </row>
    <row r="79" spans="1:33" ht="22.2">
      <c r="A79" s="35"/>
      <c r="B79" s="299" t="str">
        <f>IF(ISERROR(AA$13),"",AA$13&amp;"")&amp;P$55</f>
        <v>Lithium</v>
      </c>
      <c r="C79" s="29"/>
      <c r="D79" s="423"/>
      <c r="E79" s="424"/>
      <c r="F79" s="41"/>
      <c r="G79" s="1"/>
      <c r="H79" s="389"/>
      <c r="I79" s="389"/>
      <c r="J79" s="390"/>
      <c r="K79" s="30"/>
      <c r="L79" s="105"/>
      <c r="M79">
        <f t="shared" si="140"/>
        <v>0</v>
      </c>
      <c r="P79" s="3"/>
      <c r="Q79" s="3"/>
      <c r="R79" s="3"/>
      <c r="S79" s="3"/>
      <c r="T79" s="3"/>
      <c r="U79" s="3"/>
      <c r="V79" s="3"/>
      <c r="W79" s="3"/>
      <c r="X79" s="3"/>
      <c r="Y79" s="3">
        <v>51</v>
      </c>
      <c r="Z79" s="3"/>
      <c r="AA79" s="3"/>
      <c r="AB79" s="3"/>
      <c r="AC79" s="3"/>
      <c r="AD79" s="3"/>
      <c r="AE79" s="3"/>
      <c r="AF79" s="3"/>
      <c r="AG79" s="3"/>
    </row>
    <row r="80" spans="1:33" ht="26.1" customHeight="1">
      <c r="A80" s="35"/>
      <c r="B80" s="299" t="str">
        <f>IF(ISERROR(AA$14),"",AA$14&amp;"")&amp;P$56</f>
        <v>Mica</v>
      </c>
      <c r="C80" s="29"/>
      <c r="D80" s="423"/>
      <c r="E80" s="424"/>
      <c r="F80" s="41"/>
      <c r="G80" s="1"/>
      <c r="H80" s="389"/>
      <c r="I80" s="389"/>
      <c r="J80" s="390"/>
      <c r="K80" s="30"/>
      <c r="L80" s="105"/>
      <c r="M80">
        <f t="shared" si="140"/>
        <v>0</v>
      </c>
      <c r="P80" s="3"/>
      <c r="Q80" s="3"/>
      <c r="R80" s="3"/>
      <c r="S80" s="3"/>
      <c r="T80" s="3"/>
      <c r="U80" s="3"/>
      <c r="V80" s="3"/>
      <c r="W80" s="3"/>
      <c r="X80" s="3"/>
      <c r="Y80" s="3">
        <v>52</v>
      </c>
      <c r="Z80" s="3"/>
      <c r="AA80" s="3"/>
      <c r="AB80" s="3"/>
      <c r="AC80" s="3"/>
      <c r="AD80" s="3"/>
      <c r="AE80" s="3"/>
      <c r="AF80" s="3"/>
      <c r="AG80" s="3"/>
    </row>
    <row r="81" spans="1:33" ht="24" customHeight="1">
      <c r="A81" s="35"/>
      <c r="B81" s="299" t="str">
        <f>IF(ISERROR(AA$15),"",AA$15&amp;"")&amp;P$57</f>
        <v/>
      </c>
      <c r="C81" s="29"/>
      <c r="D81" s="423"/>
      <c r="E81" s="424"/>
      <c r="F81" s="41"/>
      <c r="G81" s="1"/>
      <c r="H81" s="389"/>
      <c r="I81" s="389"/>
      <c r="J81" s="390"/>
      <c r="K81" s="30"/>
      <c r="L81" s="105"/>
      <c r="M81">
        <f t="shared" si="140"/>
        <v>0</v>
      </c>
      <c r="P81" s="3"/>
      <c r="Q81" s="3"/>
      <c r="R81" s="3"/>
      <c r="S81" s="3"/>
      <c r="T81" s="3"/>
      <c r="U81" s="3"/>
      <c r="V81" s="3"/>
      <c r="W81" s="3"/>
      <c r="X81" s="3"/>
      <c r="Y81" s="3">
        <v>53</v>
      </c>
      <c r="Z81" s="3"/>
      <c r="AA81" s="3"/>
      <c r="AB81" s="3"/>
      <c r="AC81" s="3"/>
      <c r="AD81" s="3"/>
      <c r="AE81" s="3"/>
      <c r="AF81" s="3"/>
      <c r="AG81" s="3"/>
    </row>
    <row r="82" spans="1:33" ht="24" customHeight="1">
      <c r="A82" s="35"/>
      <c r="B82" s="299" t="str">
        <f>IF(ISERROR(AA$16),"",AA$16&amp;"")&amp;P$58</f>
        <v/>
      </c>
      <c r="C82" s="29"/>
      <c r="D82" s="423"/>
      <c r="E82" s="424"/>
      <c r="F82" s="41"/>
      <c r="G82" s="1"/>
      <c r="H82" s="389"/>
      <c r="I82" s="389"/>
      <c r="J82" s="390"/>
      <c r="K82" s="30"/>
      <c r="L82" s="105"/>
      <c r="M82">
        <f t="shared" si="140"/>
        <v>0</v>
      </c>
      <c r="P82" s="3"/>
      <c r="Q82" s="3"/>
      <c r="R82" s="3"/>
      <c r="S82" s="3"/>
      <c r="T82" s="3"/>
      <c r="U82" s="3"/>
      <c r="V82" s="3"/>
      <c r="W82" s="3"/>
      <c r="X82" s="3"/>
      <c r="Y82" s="3">
        <v>53</v>
      </c>
      <c r="Z82" s="3"/>
      <c r="AA82" s="3"/>
      <c r="AB82" s="3"/>
      <c r="AC82" s="3"/>
      <c r="AD82" s="3"/>
      <c r="AE82" s="3"/>
      <c r="AF82" s="3"/>
      <c r="AG82" s="3"/>
    </row>
    <row r="83" spans="1:33" ht="23.1" customHeight="1">
      <c r="A83" s="35"/>
      <c r="B83" s="299" t="str">
        <f>IF(ISERROR(AA$17),"",AA$17&amp;"")&amp;P$59</f>
        <v/>
      </c>
      <c r="C83" s="29"/>
      <c r="D83" s="423"/>
      <c r="E83" s="424"/>
      <c r="F83" s="41"/>
      <c r="G83" s="1"/>
      <c r="H83" s="389"/>
      <c r="I83" s="389"/>
      <c r="J83" s="390"/>
      <c r="K83" s="30"/>
      <c r="L83" s="105"/>
      <c r="M83">
        <f t="shared" si="140"/>
        <v>0</v>
      </c>
      <c r="P83" s="3"/>
      <c r="Q83" s="3"/>
      <c r="R83" s="3"/>
      <c r="S83" s="3"/>
      <c r="T83" s="3"/>
      <c r="U83" s="3"/>
      <c r="V83" s="3"/>
      <c r="W83" s="3"/>
      <c r="X83" s="3"/>
      <c r="Y83" s="3">
        <v>53</v>
      </c>
      <c r="Z83" s="3"/>
      <c r="AA83" s="3"/>
      <c r="AB83" s="3"/>
      <c r="AC83" s="3"/>
      <c r="AD83" s="3"/>
      <c r="AE83" s="3"/>
      <c r="AF83" s="3"/>
      <c r="AG83" s="3"/>
    </row>
    <row r="84" spans="1:33" ht="23.1" hidden="1" customHeight="1">
      <c r="A84" s="35"/>
      <c r="B84" s="299" t="str">
        <f>IF(ISERROR(AA$18),"",AA$18&amp;"")&amp;P$60</f>
        <v/>
      </c>
      <c r="C84" s="29"/>
      <c r="D84" s="423"/>
      <c r="E84" s="424"/>
      <c r="F84" s="41"/>
      <c r="G84" s="1"/>
      <c r="H84" s="389"/>
      <c r="I84" s="389"/>
      <c r="J84" s="390"/>
      <c r="K84" s="30"/>
      <c r="L84" s="105"/>
      <c r="M84">
        <f t="shared" si="140"/>
        <v>0</v>
      </c>
      <c r="P84" s="3"/>
      <c r="Q84" s="3"/>
      <c r="R84" s="3"/>
      <c r="S84" s="3"/>
      <c r="T84" s="3"/>
      <c r="U84" s="3"/>
      <c r="V84" s="3"/>
      <c r="W84" s="3"/>
      <c r="X84" s="3"/>
      <c r="Y84" s="3">
        <v>53</v>
      </c>
      <c r="Z84" s="3"/>
      <c r="AA84" s="3"/>
      <c r="AB84" s="3"/>
      <c r="AC84" s="3"/>
      <c r="AD84" s="3"/>
      <c r="AE84" s="3"/>
      <c r="AF84" s="3"/>
      <c r="AG84" s="3"/>
    </row>
    <row r="85" spans="1:33" ht="23.1" hidden="1" customHeight="1">
      <c r="A85" s="35"/>
      <c r="B85" s="299" t="str">
        <f>IF(ISERROR(AA$19),"",AA$19&amp;"")&amp;P$61</f>
        <v/>
      </c>
      <c r="C85" s="29"/>
      <c r="D85" s="423"/>
      <c r="E85" s="424"/>
      <c r="F85" s="41"/>
      <c r="G85" s="1"/>
      <c r="H85" s="389"/>
      <c r="I85" s="389"/>
      <c r="J85" s="390"/>
      <c r="K85" s="30"/>
      <c r="L85" s="105"/>
      <c r="M85">
        <f t="shared" si="140"/>
        <v>0</v>
      </c>
      <c r="P85" s="3"/>
      <c r="Q85" s="3"/>
      <c r="R85" s="3"/>
      <c r="S85" s="3"/>
      <c r="T85" s="3"/>
      <c r="U85" s="3"/>
      <c r="V85" s="3"/>
      <c r="W85" s="3"/>
      <c r="X85" s="3"/>
      <c r="Y85" s="3">
        <v>53</v>
      </c>
      <c r="Z85" s="3"/>
      <c r="AA85" s="3"/>
      <c r="AB85" s="3"/>
      <c r="AC85" s="3"/>
      <c r="AD85" s="3"/>
      <c r="AE85" s="3"/>
      <c r="AF85" s="3"/>
      <c r="AG85" s="3"/>
    </row>
    <row r="86" spans="1:33" ht="23.1" hidden="1" customHeight="1">
      <c r="A86" s="35"/>
      <c r="B86" s="299" t="str">
        <f>IF(ISERROR(AA$20),"",AA$20&amp;"")&amp;P$62</f>
        <v/>
      </c>
      <c r="C86" s="29"/>
      <c r="D86" s="423"/>
      <c r="E86" s="424"/>
      <c r="F86" s="41"/>
      <c r="G86" s="1"/>
      <c r="H86" s="389"/>
      <c r="I86" s="389"/>
      <c r="J86" s="390"/>
      <c r="K86" s="30"/>
      <c r="L86" s="105"/>
      <c r="M86">
        <f t="shared" si="140"/>
        <v>0</v>
      </c>
      <c r="P86" s="3"/>
      <c r="Q86" s="3"/>
      <c r="R86" s="3"/>
      <c r="S86" s="3"/>
      <c r="T86" s="3"/>
      <c r="U86" s="3"/>
      <c r="V86" s="3"/>
      <c r="W86" s="3"/>
      <c r="X86" s="3"/>
      <c r="Y86" s="3">
        <v>53</v>
      </c>
      <c r="Z86" s="3"/>
      <c r="AA86" s="3"/>
      <c r="AB86" s="3"/>
      <c r="AC86" s="3"/>
      <c r="AD86" s="3"/>
      <c r="AE86" s="3"/>
      <c r="AF86" s="3"/>
      <c r="AG86" s="3"/>
    </row>
    <row r="87" spans="1:33" ht="23.1" hidden="1" customHeight="1">
      <c r="A87" s="35"/>
      <c r="B87" s="299" t="str">
        <f>IF(ISERROR(AA$21),"",AA$21&amp;"")&amp;P$63</f>
        <v/>
      </c>
      <c r="C87" s="29"/>
      <c r="D87" s="423"/>
      <c r="E87" s="424"/>
      <c r="F87" s="41"/>
      <c r="G87" s="1"/>
      <c r="H87" s="389"/>
      <c r="I87" s="389"/>
      <c r="J87" s="390"/>
      <c r="K87" s="30"/>
      <c r="L87" s="105"/>
      <c r="M87">
        <f t="shared" si="140"/>
        <v>0</v>
      </c>
      <c r="P87" s="3"/>
      <c r="Q87" s="3"/>
      <c r="R87" s="3"/>
      <c r="S87" s="3"/>
      <c r="T87" s="3"/>
      <c r="U87" s="3"/>
      <c r="V87" s="3"/>
      <c r="W87" s="3"/>
      <c r="X87" s="3"/>
      <c r="Y87" s="3">
        <v>53</v>
      </c>
      <c r="Z87" s="3"/>
      <c r="AA87" s="3"/>
      <c r="AB87" s="3"/>
      <c r="AC87" s="3"/>
      <c r="AD87" s="3"/>
      <c r="AE87" s="3"/>
      <c r="AF87" s="3"/>
      <c r="AG87" s="3"/>
    </row>
    <row r="88" spans="1:33" ht="23.1" customHeight="1">
      <c r="A88" s="35"/>
      <c r="B88" s="40"/>
      <c r="C88" s="7"/>
      <c r="D88" s="75"/>
      <c r="E88" s="75"/>
      <c r="F88" s="74"/>
      <c r="G88" s="76"/>
      <c r="H88" s="76"/>
      <c r="I88" s="76"/>
      <c r="J88" s="76"/>
      <c r="K88" s="30"/>
      <c r="L88" s="99"/>
      <c r="M88" s="100"/>
      <c r="P88" s="3"/>
      <c r="Q88" s="3"/>
      <c r="R88" s="3"/>
      <c r="S88" s="3"/>
      <c r="T88" s="3"/>
      <c r="U88" s="3"/>
      <c r="V88" s="3"/>
      <c r="W88" s="3"/>
      <c r="X88" s="3"/>
      <c r="Y88" s="3">
        <v>54</v>
      </c>
      <c r="Z88" s="3"/>
      <c r="AA88" s="3"/>
      <c r="AB88" s="3"/>
      <c r="AC88" s="3"/>
      <c r="AD88" s="3"/>
      <c r="AE88" s="3"/>
      <c r="AF88" s="3"/>
      <c r="AG88" s="3"/>
    </row>
    <row r="89" spans="1:33" ht="48.6">
      <c r="A89" s="35"/>
      <c r="B89" s="122" t="str">
        <f ca="1">OFFSET(L!$C$1,MATCH("Declaration"&amp;ADDRESS(ROW(),COLUMN(),4),L!$A:$A,0)-1,SL,,)&amp;Q53</f>
        <v>6) Have you identified all of the smelters or processors supplying the specified minerals/metal to your supply chain?</v>
      </c>
      <c r="C89" s="7"/>
      <c r="D89" s="425" t="str">
        <f ca="1">D29</f>
        <v>Answer</v>
      </c>
      <c r="E89" s="425"/>
      <c r="F89" s="15"/>
      <c r="G89" s="38" t="str">
        <f ca="1">G29</f>
        <v>Comments</v>
      </c>
      <c r="H89" s="437"/>
      <c r="I89" s="437"/>
      <c r="J89" s="437"/>
      <c r="K89" s="30"/>
      <c r="L89" s="99" t="s">
        <v>15</v>
      </c>
      <c r="M89" s="100"/>
      <c r="P89" s="3"/>
      <c r="Q89" s="3"/>
      <c r="R89" s="3"/>
      <c r="S89" s="3"/>
      <c r="T89" s="3"/>
      <c r="U89" s="3"/>
      <c r="V89" s="3"/>
      <c r="W89" s="3"/>
      <c r="X89" s="3"/>
      <c r="Y89" s="3">
        <v>55</v>
      </c>
      <c r="Z89" s="3"/>
      <c r="AA89" s="3"/>
      <c r="AB89" s="3"/>
      <c r="AC89" s="3"/>
      <c r="AD89" s="3"/>
      <c r="AE89" s="3"/>
      <c r="AF89" s="3"/>
      <c r="AG89" s="3"/>
    </row>
    <row r="90" spans="1:33" ht="22.2">
      <c r="A90" s="35"/>
      <c r="B90" s="299" t="str">
        <f>IF(ISERROR(AA$12),"",AA$12&amp;"")&amp;P$54</f>
        <v>Cobalt</v>
      </c>
      <c r="C90" s="7"/>
      <c r="D90" s="423"/>
      <c r="E90" s="424"/>
      <c r="F90" s="41"/>
      <c r="G90" s="1"/>
      <c r="H90" s="389"/>
      <c r="I90" s="389"/>
      <c r="J90" s="390"/>
      <c r="K90" s="30"/>
      <c r="L90" s="105"/>
      <c r="M90">
        <f t="shared" ref="M90:M99" si="141">IF(AND(B90="",D90&lt;&gt;""),1,0)</f>
        <v>0</v>
      </c>
      <c r="P90" s="3"/>
      <c r="Q90" s="3"/>
      <c r="R90" s="3"/>
      <c r="S90" s="3"/>
      <c r="T90" s="3"/>
      <c r="U90" s="3"/>
      <c r="V90" s="3"/>
      <c r="W90" s="3"/>
      <c r="X90" s="3"/>
      <c r="Y90" s="3">
        <v>56</v>
      </c>
      <c r="Z90" s="3"/>
      <c r="AA90" s="3"/>
      <c r="AB90" s="3"/>
      <c r="AC90" s="3"/>
      <c r="AD90" s="3"/>
      <c r="AE90" s="3"/>
      <c r="AF90" s="3"/>
      <c r="AG90" s="3"/>
    </row>
    <row r="91" spans="1:33" ht="22.2">
      <c r="A91" s="35"/>
      <c r="B91" s="299" t="str">
        <f>IF(ISERROR(AA$13),"",AA$13&amp;"")&amp;P$55</f>
        <v>Lithium</v>
      </c>
      <c r="C91" s="7"/>
      <c r="D91" s="423"/>
      <c r="E91" s="424"/>
      <c r="F91" s="41"/>
      <c r="G91" s="1"/>
      <c r="H91" s="389"/>
      <c r="I91" s="389"/>
      <c r="J91" s="390"/>
      <c r="K91" s="30"/>
      <c r="L91" s="105"/>
      <c r="M91">
        <f t="shared" si="141"/>
        <v>0</v>
      </c>
      <c r="P91" s="3"/>
      <c r="Q91" s="3"/>
      <c r="R91" s="3"/>
      <c r="S91" s="3"/>
      <c r="T91" s="3"/>
      <c r="U91" s="3"/>
      <c r="V91" s="3"/>
      <c r="W91" s="3"/>
      <c r="X91" s="3"/>
      <c r="Y91" s="3">
        <v>57</v>
      </c>
      <c r="Z91" s="3"/>
      <c r="AA91" s="3"/>
      <c r="AB91" s="3"/>
      <c r="AC91" s="3"/>
      <c r="AD91" s="3"/>
      <c r="AE91" s="3"/>
      <c r="AF91" s="3"/>
      <c r="AG91" s="3"/>
    </row>
    <row r="92" spans="1:33" ht="22.2">
      <c r="A92" s="35"/>
      <c r="B92" s="299" t="str">
        <f>IF(ISERROR(AA$14),"",AA$14&amp;"")&amp;P$56</f>
        <v>Mica</v>
      </c>
      <c r="C92" s="7"/>
      <c r="D92" s="423"/>
      <c r="E92" s="424"/>
      <c r="F92" s="41"/>
      <c r="G92" s="1"/>
      <c r="H92" s="389"/>
      <c r="I92" s="389"/>
      <c r="J92" s="390"/>
      <c r="K92" s="30"/>
      <c r="L92" s="105"/>
      <c r="M92">
        <f t="shared" si="141"/>
        <v>0</v>
      </c>
      <c r="P92" s="3"/>
      <c r="Q92" s="3"/>
      <c r="R92" s="3"/>
      <c r="S92" s="3"/>
      <c r="T92" s="3"/>
      <c r="U92" s="3"/>
      <c r="V92" s="3"/>
      <c r="W92" s="3"/>
      <c r="X92" s="3"/>
      <c r="Y92" s="3">
        <v>58</v>
      </c>
      <c r="Z92" s="3"/>
      <c r="AA92" s="3"/>
      <c r="AB92" s="3"/>
      <c r="AC92" s="3"/>
      <c r="AD92" s="3"/>
      <c r="AE92" s="3"/>
      <c r="AF92" s="3"/>
      <c r="AG92" s="3"/>
    </row>
    <row r="93" spans="1:33" ht="22.2">
      <c r="A93" s="35"/>
      <c r="B93" s="299" t="str">
        <f>IF(ISERROR(AA$15),"",AA$15&amp;"")&amp;P$57</f>
        <v/>
      </c>
      <c r="C93" s="7"/>
      <c r="D93" s="423"/>
      <c r="E93" s="424"/>
      <c r="F93" s="41"/>
      <c r="G93" s="1"/>
      <c r="H93" s="389"/>
      <c r="I93" s="389"/>
      <c r="J93" s="390"/>
      <c r="K93" s="30"/>
      <c r="L93" s="105"/>
      <c r="M93">
        <f t="shared" si="141"/>
        <v>0</v>
      </c>
      <c r="P93" s="3"/>
      <c r="Q93" s="3"/>
      <c r="R93" s="3"/>
      <c r="S93" s="3"/>
      <c r="T93" s="3"/>
      <c r="U93" s="3"/>
      <c r="V93" s="3"/>
      <c r="W93" s="3"/>
      <c r="X93" s="3"/>
      <c r="Y93" s="3">
        <v>59</v>
      </c>
      <c r="Z93" s="3"/>
      <c r="AA93" s="3"/>
      <c r="AB93" s="3"/>
      <c r="AC93" s="3"/>
      <c r="AD93" s="3"/>
      <c r="AE93" s="3"/>
      <c r="AF93" s="3"/>
      <c r="AG93" s="3"/>
    </row>
    <row r="94" spans="1:33" ht="22.2">
      <c r="A94" s="35"/>
      <c r="B94" s="299" t="str">
        <f>IF(ISERROR(AA$16),"",AA$16&amp;"")&amp;P$58</f>
        <v/>
      </c>
      <c r="C94" s="7"/>
      <c r="D94" s="423"/>
      <c r="E94" s="424"/>
      <c r="F94" s="41"/>
      <c r="G94" s="1"/>
      <c r="H94" s="389"/>
      <c r="I94" s="389"/>
      <c r="J94" s="390"/>
      <c r="K94" s="30"/>
      <c r="L94" s="105"/>
      <c r="M94">
        <f t="shared" si="141"/>
        <v>0</v>
      </c>
      <c r="P94" s="3"/>
      <c r="Q94" s="3"/>
      <c r="R94" s="3"/>
      <c r="S94" s="3"/>
      <c r="T94" s="3"/>
      <c r="U94" s="3"/>
      <c r="V94" s="3"/>
      <c r="W94" s="3"/>
      <c r="X94" s="3"/>
      <c r="Y94" s="3">
        <v>58</v>
      </c>
      <c r="Z94" s="3"/>
      <c r="AA94" s="3"/>
      <c r="AB94" s="3"/>
      <c r="AC94" s="3"/>
      <c r="AD94" s="3"/>
      <c r="AE94" s="3"/>
      <c r="AF94" s="3"/>
      <c r="AG94" s="3"/>
    </row>
    <row r="95" spans="1:33" ht="23.1" customHeight="1">
      <c r="A95" s="35"/>
      <c r="B95" s="299" t="str">
        <f>IF(ISERROR(AA$17),"",AA$17&amp;"")&amp;P$59</f>
        <v/>
      </c>
      <c r="C95" s="7"/>
      <c r="D95" s="423"/>
      <c r="E95" s="424"/>
      <c r="F95" s="41"/>
      <c r="G95" s="1"/>
      <c r="H95" s="389"/>
      <c r="I95" s="389"/>
      <c r="J95" s="390"/>
      <c r="K95" s="30"/>
      <c r="L95" s="105"/>
      <c r="M95">
        <f t="shared" si="141"/>
        <v>0</v>
      </c>
      <c r="P95" s="3"/>
      <c r="Q95" s="3"/>
      <c r="R95" s="3"/>
      <c r="S95" s="3"/>
      <c r="T95" s="3"/>
      <c r="U95" s="3"/>
      <c r="V95" s="3"/>
      <c r="W95" s="3"/>
      <c r="X95" s="3"/>
      <c r="Y95" s="3">
        <v>58</v>
      </c>
      <c r="Z95" s="3"/>
      <c r="AA95" s="3"/>
      <c r="AB95" s="3"/>
      <c r="AC95" s="3"/>
      <c r="AD95" s="3"/>
      <c r="AE95" s="3"/>
      <c r="AF95" s="3"/>
      <c r="AG95" s="3"/>
    </row>
    <row r="96" spans="1:33" ht="23.1" hidden="1" customHeight="1">
      <c r="A96" s="35"/>
      <c r="B96" s="299" t="str">
        <f>IF(ISERROR(AA$18),"",AA$18&amp;"")&amp;P$60</f>
        <v/>
      </c>
      <c r="C96" s="7"/>
      <c r="D96" s="423"/>
      <c r="E96" s="424"/>
      <c r="F96" s="41"/>
      <c r="G96" s="1"/>
      <c r="H96" s="389"/>
      <c r="I96" s="389"/>
      <c r="J96" s="390"/>
      <c r="K96" s="30"/>
      <c r="L96" s="105"/>
      <c r="M96">
        <f t="shared" si="141"/>
        <v>0</v>
      </c>
      <c r="P96" s="3"/>
      <c r="Q96" s="3"/>
      <c r="R96" s="3"/>
      <c r="S96" s="3"/>
      <c r="T96" s="3"/>
      <c r="U96" s="3"/>
      <c r="V96" s="3"/>
      <c r="W96" s="3"/>
      <c r="X96" s="3"/>
      <c r="Y96" s="3">
        <v>58</v>
      </c>
      <c r="Z96" s="3"/>
      <c r="AA96" s="3"/>
      <c r="AB96" s="3"/>
      <c r="AC96" s="3"/>
      <c r="AD96" s="3"/>
      <c r="AE96" s="3"/>
      <c r="AF96" s="3"/>
      <c r="AG96" s="3"/>
    </row>
    <row r="97" spans="1:33" ht="23.1" hidden="1" customHeight="1">
      <c r="A97" s="35"/>
      <c r="B97" s="299" t="str">
        <f>IF(ISERROR(AA$19),"",AA$19&amp;"")&amp;P$61</f>
        <v/>
      </c>
      <c r="C97" s="7"/>
      <c r="D97" s="423"/>
      <c r="E97" s="424"/>
      <c r="F97" s="41"/>
      <c r="G97" s="1"/>
      <c r="H97" s="389"/>
      <c r="I97" s="389"/>
      <c r="J97" s="390"/>
      <c r="K97" s="30"/>
      <c r="L97" s="105"/>
      <c r="M97">
        <f t="shared" si="141"/>
        <v>0</v>
      </c>
      <c r="P97" s="3"/>
      <c r="Q97" s="3"/>
      <c r="R97" s="3"/>
      <c r="S97" s="3"/>
      <c r="T97" s="3"/>
      <c r="U97" s="3"/>
      <c r="V97" s="3"/>
      <c r="W97" s="3"/>
      <c r="X97" s="3"/>
      <c r="Y97" s="3">
        <v>58</v>
      </c>
      <c r="Z97" s="3"/>
      <c r="AA97" s="3"/>
      <c r="AB97" s="3"/>
      <c r="AC97" s="3"/>
      <c r="AD97" s="3"/>
      <c r="AE97" s="3"/>
      <c r="AF97" s="3"/>
      <c r="AG97" s="3"/>
    </row>
    <row r="98" spans="1:33" ht="23.1" hidden="1" customHeight="1">
      <c r="A98" s="35"/>
      <c r="B98" s="299" t="str">
        <f>IF(ISERROR(AA$20),"",AA$20&amp;"")&amp;P$62</f>
        <v/>
      </c>
      <c r="C98" s="7"/>
      <c r="D98" s="423"/>
      <c r="E98" s="424"/>
      <c r="F98" s="41"/>
      <c r="G98" s="1"/>
      <c r="H98" s="389"/>
      <c r="I98" s="389"/>
      <c r="J98" s="390"/>
      <c r="K98" s="30"/>
      <c r="L98" s="105"/>
      <c r="M98">
        <f t="shared" si="141"/>
        <v>0</v>
      </c>
      <c r="P98" s="3"/>
      <c r="Q98" s="3"/>
      <c r="R98" s="3"/>
      <c r="S98" s="3"/>
      <c r="T98" s="3"/>
      <c r="U98" s="3"/>
      <c r="V98" s="3"/>
      <c r="W98" s="3"/>
      <c r="X98" s="3"/>
      <c r="Y98" s="3">
        <v>58</v>
      </c>
      <c r="Z98" s="3"/>
      <c r="AA98" s="3"/>
      <c r="AB98" s="3"/>
      <c r="AC98" s="3"/>
      <c r="AD98" s="3"/>
      <c r="AE98" s="3"/>
      <c r="AF98" s="3"/>
      <c r="AG98" s="3"/>
    </row>
    <row r="99" spans="1:33" ht="23.1" hidden="1" customHeight="1">
      <c r="A99" s="35"/>
      <c r="B99" s="299" t="str">
        <f>IF(ISERROR(AA$21),"",AA$21&amp;"")&amp;P$63</f>
        <v/>
      </c>
      <c r="C99" s="7"/>
      <c r="D99" s="423"/>
      <c r="E99" s="424"/>
      <c r="F99" s="41"/>
      <c r="G99" s="1"/>
      <c r="H99" s="389"/>
      <c r="I99" s="389"/>
      <c r="J99" s="390"/>
      <c r="K99" s="30"/>
      <c r="L99" s="105"/>
      <c r="M99">
        <f t="shared" si="141"/>
        <v>0</v>
      </c>
      <c r="P99" s="3"/>
      <c r="Q99" s="3"/>
      <c r="R99" s="3"/>
      <c r="S99" s="3"/>
      <c r="T99" s="3"/>
      <c r="U99" s="3"/>
      <c r="V99" s="3"/>
      <c r="W99" s="3"/>
      <c r="X99" s="3"/>
      <c r="Y99" s="3">
        <v>58</v>
      </c>
      <c r="Z99" s="3"/>
      <c r="AA99" s="3"/>
      <c r="AB99" s="3"/>
      <c r="AC99" s="3"/>
      <c r="AD99" s="3"/>
      <c r="AE99" s="3"/>
      <c r="AF99" s="3"/>
      <c r="AG99" s="3"/>
    </row>
    <row r="100" spans="1:33" ht="23.1" customHeight="1">
      <c r="A100" s="35"/>
      <c r="B100" s="19"/>
      <c r="C100" s="7"/>
      <c r="D100" s="77"/>
      <c r="E100" s="77"/>
      <c r="F100" s="74"/>
      <c r="G100" s="78"/>
      <c r="H100" s="78"/>
      <c r="I100" s="78"/>
      <c r="J100" s="78"/>
      <c r="K100" s="30"/>
      <c r="L100" s="99"/>
      <c r="M100" s="100"/>
      <c r="P100" s="3"/>
      <c r="Q100" s="3"/>
      <c r="R100" s="3"/>
      <c r="S100" s="3"/>
      <c r="T100" s="3"/>
      <c r="U100" s="3"/>
      <c r="V100" s="3"/>
      <c r="W100" s="3"/>
      <c r="X100" s="3"/>
      <c r="Y100" s="3">
        <v>60</v>
      </c>
      <c r="Z100" s="3"/>
      <c r="AA100" s="3"/>
      <c r="AB100" s="3"/>
      <c r="AC100" s="3"/>
      <c r="AD100" s="3"/>
      <c r="AE100" s="3"/>
      <c r="AF100" s="3"/>
      <c r="AG100" s="3"/>
    </row>
    <row r="101" spans="1:33" ht="48.6">
      <c r="A101" s="35"/>
      <c r="B101" s="38" t="str">
        <f ca="1">OFFSET(L!$C$1,MATCH("Declaration"&amp;ADDRESS(ROW(),COLUMN(),4),L!$A:$A,0)-1,SL,,)&amp;Q53</f>
        <v>7) Has all applicable smelter or processor information received by your company been reported in this declaration?</v>
      </c>
      <c r="C101" s="7"/>
      <c r="D101" s="425" t="str">
        <f ca="1">D29</f>
        <v>Answer</v>
      </c>
      <c r="E101" s="425"/>
      <c r="F101" s="15"/>
      <c r="G101" s="38" t="str">
        <f ca="1">G29</f>
        <v>Comments</v>
      </c>
      <c r="H101" s="437" t="str">
        <f>IF(Q115="(*)","Click here to enter smelter names","")</f>
        <v/>
      </c>
      <c r="I101" s="437"/>
      <c r="J101" s="437"/>
      <c r="K101" s="30"/>
      <c r="L101" s="99" t="s">
        <v>15</v>
      </c>
      <c r="M101" s="100"/>
      <c r="P101" s="3"/>
      <c r="Q101" s="3"/>
      <c r="R101" s="3"/>
      <c r="S101" s="3"/>
      <c r="T101" s="3"/>
      <c r="U101" s="3"/>
      <c r="V101" s="3"/>
      <c r="W101" s="3"/>
      <c r="X101" s="3"/>
      <c r="Y101" s="3">
        <v>61</v>
      </c>
      <c r="Z101" s="3"/>
      <c r="AA101" s="3"/>
      <c r="AB101" s="3"/>
      <c r="AC101" s="3"/>
      <c r="AD101" s="3"/>
      <c r="AE101" s="3"/>
      <c r="AF101" s="3"/>
      <c r="AG101" s="3"/>
    </row>
    <row r="102" spans="1:33" ht="22.2">
      <c r="A102" s="35"/>
      <c r="B102" s="299" t="str">
        <f>IF(ISERROR(AA$12),"",AA$12&amp;"")&amp;P$54</f>
        <v>Cobalt</v>
      </c>
      <c r="C102" s="29"/>
      <c r="D102" s="423"/>
      <c r="E102" s="424"/>
      <c r="F102" s="42"/>
      <c r="G102" s="1"/>
      <c r="H102" s="389"/>
      <c r="I102" s="389"/>
      <c r="J102" s="390"/>
      <c r="K102" s="30"/>
      <c r="L102" s="105"/>
      <c r="M102">
        <f t="shared" ref="M102:M111" si="142">IF(AND(B102="",D102&lt;&gt;""),1,0)</f>
        <v>0</v>
      </c>
      <c r="P102" s="3"/>
      <c r="Q102" s="3"/>
      <c r="R102" s="3"/>
      <c r="S102" s="3"/>
      <c r="T102" s="3"/>
      <c r="U102" s="3"/>
      <c r="V102" s="3"/>
      <c r="W102" s="3"/>
      <c r="X102" s="3"/>
      <c r="Y102" s="3">
        <v>62</v>
      </c>
      <c r="Z102" s="3"/>
      <c r="AA102" s="3"/>
      <c r="AB102" s="3"/>
      <c r="AC102" s="3"/>
      <c r="AD102" s="3"/>
      <c r="AE102" s="3"/>
      <c r="AF102" s="3"/>
      <c r="AG102" s="3"/>
    </row>
    <row r="103" spans="1:33" ht="22.2">
      <c r="A103" s="35"/>
      <c r="B103" s="299" t="str">
        <f>IF(ISERROR(AA$13),"",AA$13&amp;"")&amp;P$55</f>
        <v>Lithium</v>
      </c>
      <c r="C103" s="29"/>
      <c r="D103" s="423"/>
      <c r="E103" s="424"/>
      <c r="F103" s="42"/>
      <c r="G103" s="1"/>
      <c r="H103" s="389"/>
      <c r="I103" s="389"/>
      <c r="J103" s="390"/>
      <c r="K103" s="30"/>
      <c r="L103" s="105"/>
      <c r="M103">
        <f t="shared" si="142"/>
        <v>0</v>
      </c>
      <c r="P103" s="3"/>
      <c r="Q103" s="3"/>
      <c r="R103" s="3"/>
      <c r="S103" s="3"/>
      <c r="T103" s="3"/>
      <c r="U103" s="3"/>
      <c r="V103" s="3"/>
      <c r="W103" s="3"/>
      <c r="X103" s="3"/>
      <c r="Y103" s="3">
        <v>63</v>
      </c>
      <c r="Z103" s="3"/>
      <c r="AA103" s="3"/>
      <c r="AB103" s="3"/>
      <c r="AC103" s="3"/>
      <c r="AD103" s="3"/>
      <c r="AE103" s="3"/>
      <c r="AF103" s="3"/>
      <c r="AG103" s="3"/>
    </row>
    <row r="104" spans="1:33" ht="22.2">
      <c r="A104" s="35"/>
      <c r="B104" s="299" t="str">
        <f>IF(ISERROR(AA$14),"",AA$14&amp;"")&amp;P$56</f>
        <v>Mica</v>
      </c>
      <c r="C104" s="29"/>
      <c r="D104" s="423"/>
      <c r="E104" s="424"/>
      <c r="F104" s="42"/>
      <c r="G104" s="1"/>
      <c r="H104" s="389"/>
      <c r="I104" s="389"/>
      <c r="J104" s="390"/>
      <c r="K104" s="30"/>
      <c r="L104" s="105"/>
      <c r="M104">
        <f t="shared" si="142"/>
        <v>0</v>
      </c>
      <c r="P104" s="3"/>
      <c r="Q104" s="3"/>
      <c r="R104" s="3"/>
      <c r="S104" s="3"/>
      <c r="T104" s="3"/>
      <c r="U104" s="3"/>
      <c r="V104" s="3"/>
      <c r="W104" s="3"/>
      <c r="X104" s="3"/>
      <c r="Y104" s="3">
        <v>64</v>
      </c>
      <c r="Z104" s="3"/>
      <c r="AA104" s="3"/>
      <c r="AB104" s="3"/>
      <c r="AC104" s="3"/>
      <c r="AD104" s="3"/>
      <c r="AE104" s="3"/>
      <c r="AF104" s="3"/>
      <c r="AG104" s="3"/>
    </row>
    <row r="105" spans="1:33" ht="22.2">
      <c r="A105" s="35"/>
      <c r="B105" s="299" t="str">
        <f>IF(ISERROR(AA$15),"",AA$15&amp;"")&amp;P$57</f>
        <v/>
      </c>
      <c r="C105" s="29"/>
      <c r="D105" s="423"/>
      <c r="E105" s="424"/>
      <c r="F105" s="42"/>
      <c r="G105" s="1"/>
      <c r="H105" s="389"/>
      <c r="I105" s="389"/>
      <c r="J105" s="390"/>
      <c r="K105" s="30"/>
      <c r="L105" s="105"/>
      <c r="M105">
        <f t="shared" si="142"/>
        <v>0</v>
      </c>
      <c r="P105" s="3"/>
      <c r="Q105" s="3"/>
      <c r="R105" s="3"/>
      <c r="S105" s="3"/>
      <c r="T105" s="3"/>
      <c r="U105" s="3"/>
      <c r="V105" s="3"/>
      <c r="W105" s="3"/>
      <c r="X105" s="3"/>
      <c r="Y105" s="3">
        <v>64</v>
      </c>
      <c r="Z105" s="3"/>
      <c r="AA105" s="3"/>
      <c r="AB105" s="3"/>
      <c r="AC105" s="3"/>
      <c r="AD105" s="3"/>
      <c r="AE105" s="3"/>
      <c r="AF105" s="3"/>
      <c r="AG105" s="3"/>
    </row>
    <row r="106" spans="1:33" ht="22.2">
      <c r="A106" s="35"/>
      <c r="B106" s="299" t="str">
        <f>IF(ISERROR(AA$16),"",AA$16&amp;"")&amp;P$58</f>
        <v/>
      </c>
      <c r="C106" s="29"/>
      <c r="D106" s="423"/>
      <c r="E106" s="424"/>
      <c r="F106" s="42"/>
      <c r="G106" s="1"/>
      <c r="H106" s="389"/>
      <c r="I106" s="389"/>
      <c r="J106" s="390"/>
      <c r="K106" s="30"/>
      <c r="L106" s="105"/>
      <c r="M106">
        <f t="shared" si="142"/>
        <v>0</v>
      </c>
      <c r="P106" s="3"/>
      <c r="Q106" s="3"/>
      <c r="R106" s="3"/>
      <c r="S106" s="3"/>
      <c r="T106" s="3"/>
      <c r="U106" s="3"/>
      <c r="V106" s="3"/>
      <c r="W106" s="3"/>
      <c r="X106" s="3"/>
      <c r="Y106" s="3">
        <v>64</v>
      </c>
      <c r="Z106" s="3"/>
      <c r="AA106" s="3"/>
      <c r="AB106" s="3"/>
      <c r="AC106" s="3"/>
      <c r="AD106" s="3"/>
      <c r="AE106" s="3"/>
      <c r="AF106" s="3"/>
      <c r="AG106" s="3"/>
    </row>
    <row r="107" spans="1:33" ht="23.1" customHeight="1">
      <c r="A107" s="35"/>
      <c r="B107" s="299" t="str">
        <f>IF(ISERROR(AA$17),"",AA$17&amp;"")&amp;P$59</f>
        <v/>
      </c>
      <c r="C107" s="29"/>
      <c r="D107" s="423"/>
      <c r="E107" s="424"/>
      <c r="F107" s="42"/>
      <c r="G107" s="1"/>
      <c r="H107" s="389"/>
      <c r="I107" s="389"/>
      <c r="J107" s="390"/>
      <c r="K107" s="30"/>
      <c r="L107" s="105"/>
      <c r="M107">
        <f t="shared" si="142"/>
        <v>0</v>
      </c>
      <c r="P107" s="3"/>
      <c r="Q107" s="3"/>
      <c r="R107" s="3"/>
      <c r="S107" s="3"/>
      <c r="T107" s="3"/>
      <c r="U107" s="3"/>
      <c r="V107" s="3"/>
      <c r="W107" s="3"/>
      <c r="X107" s="3"/>
      <c r="Y107" s="3">
        <v>64</v>
      </c>
      <c r="Z107" s="3"/>
      <c r="AA107" s="3"/>
      <c r="AB107" s="3"/>
      <c r="AC107" s="3"/>
      <c r="AD107" s="3"/>
      <c r="AE107" s="3"/>
      <c r="AF107" s="3"/>
      <c r="AG107" s="3"/>
    </row>
    <row r="108" spans="1:33" ht="23.1" hidden="1" customHeight="1">
      <c r="A108" s="35"/>
      <c r="B108" s="299" t="str">
        <f>IF(ISERROR(AA$18),"",AA$18&amp;"")&amp;P$60</f>
        <v/>
      </c>
      <c r="C108" s="29"/>
      <c r="D108" s="423"/>
      <c r="E108" s="424"/>
      <c r="F108" s="42"/>
      <c r="G108" s="1"/>
      <c r="H108" s="389"/>
      <c r="I108" s="389"/>
      <c r="J108" s="390"/>
      <c r="K108" s="30"/>
      <c r="L108" s="105"/>
      <c r="M108">
        <f t="shared" si="142"/>
        <v>0</v>
      </c>
      <c r="P108" s="3"/>
      <c r="Q108" s="3"/>
      <c r="R108" s="3"/>
      <c r="S108" s="3"/>
      <c r="T108" s="3"/>
      <c r="U108" s="3"/>
      <c r="V108" s="3"/>
      <c r="W108" s="3"/>
      <c r="X108" s="3"/>
      <c r="Y108" s="3">
        <v>64</v>
      </c>
      <c r="Z108" s="3"/>
      <c r="AA108" s="3"/>
      <c r="AB108" s="3"/>
      <c r="AC108" s="3"/>
      <c r="AD108" s="3"/>
      <c r="AE108" s="3"/>
      <c r="AF108" s="3"/>
      <c r="AG108" s="3"/>
    </row>
    <row r="109" spans="1:33" ht="23.1" hidden="1" customHeight="1">
      <c r="A109" s="35"/>
      <c r="B109" s="299" t="str">
        <f>IF(ISERROR(AA$19),"",AA$19&amp;"")&amp;P$61</f>
        <v/>
      </c>
      <c r="C109" s="29"/>
      <c r="D109" s="423"/>
      <c r="E109" s="424"/>
      <c r="F109" s="42"/>
      <c r="G109" s="1"/>
      <c r="H109" s="389"/>
      <c r="I109" s="389"/>
      <c r="J109" s="390"/>
      <c r="K109" s="30"/>
      <c r="L109" s="105"/>
      <c r="M109">
        <f t="shared" si="142"/>
        <v>0</v>
      </c>
      <c r="P109" s="3"/>
      <c r="Q109" s="3"/>
      <c r="R109" s="3"/>
      <c r="S109" s="3"/>
      <c r="T109" s="3"/>
      <c r="U109" s="3"/>
      <c r="V109" s="3"/>
      <c r="W109" s="3"/>
      <c r="X109" s="3"/>
      <c r="Y109" s="3">
        <v>64</v>
      </c>
      <c r="Z109" s="3"/>
      <c r="AA109" s="3"/>
      <c r="AB109" s="3"/>
      <c r="AC109" s="3"/>
      <c r="AD109" s="3"/>
      <c r="AE109" s="3"/>
      <c r="AF109" s="3"/>
      <c r="AG109" s="3"/>
    </row>
    <row r="110" spans="1:33" ht="23.1" hidden="1" customHeight="1">
      <c r="A110" s="35"/>
      <c r="B110" s="299" t="str">
        <f>IF(ISERROR(AA$20),"",AA$20&amp;"")&amp;P$62</f>
        <v/>
      </c>
      <c r="C110" s="29"/>
      <c r="D110" s="423"/>
      <c r="E110" s="424"/>
      <c r="F110" s="42"/>
      <c r="G110" s="1"/>
      <c r="H110" s="389"/>
      <c r="I110" s="389"/>
      <c r="J110" s="390"/>
      <c r="K110" s="30"/>
      <c r="L110" s="105"/>
      <c r="M110">
        <f t="shared" si="142"/>
        <v>0</v>
      </c>
      <c r="P110" s="3"/>
      <c r="Q110" s="3"/>
      <c r="R110" s="3"/>
      <c r="S110" s="3"/>
      <c r="T110" s="3"/>
      <c r="U110" s="3"/>
      <c r="V110" s="3"/>
      <c r="W110" s="3"/>
      <c r="X110" s="3"/>
      <c r="Y110" s="3">
        <v>64</v>
      </c>
      <c r="Z110" s="3"/>
      <c r="AA110" s="3"/>
      <c r="AB110" s="3"/>
      <c r="AC110" s="3"/>
      <c r="AD110" s="3"/>
      <c r="AE110" s="3"/>
      <c r="AF110" s="3"/>
      <c r="AG110" s="3"/>
    </row>
    <row r="111" spans="1:33" ht="23.1" hidden="1" customHeight="1">
      <c r="A111" s="32"/>
      <c r="B111" s="299" t="str">
        <f>IF(ISERROR(AA$21),"",AA$21&amp;"")&amp;P$63</f>
        <v/>
      </c>
      <c r="C111" s="43"/>
      <c r="D111" s="423"/>
      <c r="E111" s="424"/>
      <c r="F111" s="44"/>
      <c r="G111" s="1"/>
      <c r="H111" s="389"/>
      <c r="I111" s="389"/>
      <c r="J111" s="390"/>
      <c r="K111" s="33"/>
      <c r="L111" s="106"/>
      <c r="M111">
        <f t="shared" si="142"/>
        <v>0</v>
      </c>
      <c r="P111" s="3"/>
      <c r="Q111" s="3"/>
      <c r="R111" s="3"/>
      <c r="S111" s="3"/>
      <c r="T111" s="3"/>
      <c r="U111" s="3"/>
      <c r="V111" s="3"/>
      <c r="W111" s="3"/>
      <c r="X111" s="3"/>
      <c r="Y111" s="3">
        <v>65</v>
      </c>
      <c r="Z111" s="3"/>
      <c r="AA111" s="3"/>
      <c r="AB111" s="3"/>
      <c r="AC111" s="3"/>
      <c r="AD111" s="3"/>
      <c r="AE111" s="3"/>
      <c r="AF111" s="3"/>
      <c r="AG111" s="3"/>
    </row>
    <row r="112" spans="1:33" ht="23.1" customHeight="1">
      <c r="A112" s="35"/>
      <c r="B112" s="14"/>
      <c r="C112" s="14"/>
      <c r="D112" s="14"/>
      <c r="E112" s="14"/>
      <c r="F112" s="14"/>
      <c r="G112" s="70"/>
      <c r="H112" s="70"/>
      <c r="I112" s="70"/>
      <c r="J112" s="70"/>
      <c r="K112" s="30"/>
      <c r="L112" s="102"/>
      <c r="P112" s="3"/>
      <c r="Q112" s="3"/>
      <c r="R112" s="3"/>
      <c r="S112" s="3"/>
      <c r="T112" s="3"/>
      <c r="U112" s="3"/>
      <c r="V112" s="3"/>
      <c r="W112" s="3"/>
      <c r="X112" s="3"/>
      <c r="Y112" s="3">
        <v>66</v>
      </c>
      <c r="Z112" s="3"/>
      <c r="AA112" s="3"/>
      <c r="AB112" s="3"/>
      <c r="AC112" s="3"/>
      <c r="AD112" s="3"/>
      <c r="AE112" s="3"/>
      <c r="AF112" s="3"/>
      <c r="AG112" s="3"/>
    </row>
    <row r="113" spans="1:33" ht="16.2">
      <c r="A113" s="35"/>
      <c r="B113" s="438" t="str">
        <f ca="1">OFFSET(L!$C$1,MATCH("Declaration"&amp;ADDRESS(ROW(),COLUMN(),4),L!$A:$A,0)-1,SL,,)</f>
        <v>Answer the Following Questions at a Company Level</v>
      </c>
      <c r="C113" s="438"/>
      <c r="D113" s="438"/>
      <c r="E113" s="438"/>
      <c r="F113" s="438"/>
      <c r="G113" s="438"/>
      <c r="H113" s="438"/>
      <c r="I113" s="438"/>
      <c r="J113" s="438"/>
      <c r="K113" s="30"/>
      <c r="L113" s="102"/>
      <c r="P113" s="3"/>
      <c r="Q113" s="3"/>
      <c r="R113" s="3"/>
      <c r="S113" s="3"/>
      <c r="T113" s="3"/>
      <c r="U113" s="3"/>
      <c r="V113" s="3"/>
      <c r="W113" s="3"/>
      <c r="X113" s="3"/>
      <c r="Y113" s="3">
        <v>67</v>
      </c>
      <c r="Z113" s="3"/>
      <c r="AA113" s="3"/>
      <c r="AB113" s="3"/>
      <c r="AC113" s="3"/>
      <c r="AD113" s="3"/>
      <c r="AE113" s="3"/>
      <c r="AF113" s="3"/>
      <c r="AG113" s="3"/>
    </row>
    <row r="114" spans="1:33" ht="16.2">
      <c r="A114" s="45"/>
      <c r="B114" s="46" t="str">
        <f ca="1">OFFSET(L!$C$1,MATCH("Declaration"&amp;ADDRESS(ROW(),COLUMN(),4),L!$A:$A,0)-1,SL,,)</f>
        <v>Question</v>
      </c>
      <c r="C114" s="71"/>
      <c r="D114" s="434" t="str">
        <f ca="1">D29</f>
        <v>Answer</v>
      </c>
      <c r="E114" s="434"/>
      <c r="F114" s="47"/>
      <c r="G114" s="434" t="str">
        <f ca="1">G29</f>
        <v>Comments</v>
      </c>
      <c r="H114" s="434" t="e">
        <f>HLOOKUP(SL,LT,$O114,0)</f>
        <v>#NAME?</v>
      </c>
      <c r="I114" s="434" t="e">
        <f>HLOOKUP(SL,LT,$O114,0)</f>
        <v>#NAME?</v>
      </c>
      <c r="J114" s="72"/>
      <c r="K114" s="49"/>
      <c r="L114" s="101"/>
      <c r="M114" s="100"/>
      <c r="P114" s="3"/>
      <c r="Q114" s="3"/>
      <c r="R114" s="3"/>
      <c r="S114" s="3"/>
      <c r="T114" s="3"/>
      <c r="U114" s="3"/>
      <c r="V114" s="3"/>
      <c r="W114" s="3"/>
      <c r="X114" s="3"/>
      <c r="Y114" s="3">
        <v>68</v>
      </c>
      <c r="Z114" s="3"/>
      <c r="AA114" s="3"/>
      <c r="AB114" s="3"/>
      <c r="AC114" s="3"/>
      <c r="AD114" s="3"/>
      <c r="AE114" s="3"/>
      <c r="AF114" s="3"/>
      <c r="AG114" s="3"/>
    </row>
    <row r="115" spans="1:33" ht="24.75" customHeight="1">
      <c r="A115" s="35"/>
      <c r="B115" s="387" t="str">
        <f ca="1">OFFSET(L!$C$1,MATCH("Declaration"&amp;ADDRESS(ROW(),COLUMN(),4),L!$A:$A,0)-1,SL,,)&amp;Q53</f>
        <v>A. Have you established a responsible minerals sourcing policy?</v>
      </c>
      <c r="C115" s="50"/>
      <c r="D115" s="423" t="s">
        <v>25</v>
      </c>
      <c r="E115" s="424"/>
      <c r="F115" s="50"/>
      <c r="G115" s="1"/>
      <c r="H115" s="389"/>
      <c r="I115" s="389"/>
      <c r="J115" s="390"/>
      <c r="K115" s="30"/>
      <c r="L115" s="101" t="s">
        <v>18</v>
      </c>
      <c r="M115" s="100"/>
      <c r="P115" s="3"/>
      <c r="Q115" s="3"/>
      <c r="R115" s="3"/>
      <c r="S115" s="3"/>
      <c r="T115" s="3"/>
      <c r="U115" s="3"/>
      <c r="V115" s="3"/>
      <c r="W115" s="3"/>
      <c r="X115" s="3"/>
      <c r="Y115" s="3">
        <v>69</v>
      </c>
      <c r="Z115" s="3"/>
      <c r="AA115" s="3"/>
      <c r="AB115" s="3"/>
      <c r="AC115" s="3"/>
      <c r="AD115" s="3"/>
      <c r="AE115" s="3"/>
      <c r="AF115" s="3"/>
      <c r="AG115" s="3"/>
    </row>
    <row r="116" spans="1:33" ht="16.2">
      <c r="A116" s="35"/>
      <c r="B116" s="51"/>
      <c r="C116" s="9"/>
      <c r="D116" s="354"/>
      <c r="E116" s="354"/>
      <c r="F116" s="9"/>
      <c r="G116" s="439"/>
      <c r="H116" s="439"/>
      <c r="I116" s="439"/>
      <c r="J116" s="439"/>
      <c r="K116" s="30"/>
      <c r="L116" s="101"/>
      <c r="M116" s="100"/>
      <c r="P116" s="3"/>
      <c r="Q116" s="3"/>
      <c r="R116" s="3"/>
      <c r="S116" s="3"/>
      <c r="T116" s="3"/>
      <c r="U116" s="3"/>
      <c r="V116" s="3"/>
      <c r="W116" s="3"/>
      <c r="X116" s="3"/>
      <c r="Y116" s="3">
        <v>70</v>
      </c>
      <c r="Z116" s="3"/>
      <c r="AA116" s="3"/>
      <c r="AB116" s="3"/>
      <c r="AC116" s="3"/>
      <c r="AD116" s="3"/>
      <c r="AE116" s="3"/>
      <c r="AF116" s="3"/>
      <c r="AG116" s="3"/>
    </row>
    <row r="117" spans="1:33" ht="42.75" customHeight="1">
      <c r="A117" s="35"/>
      <c r="B117" s="387" t="str">
        <f ca="1">OFFSET(L!$C$1,MATCH("Declaration"&amp;ADDRESS(ROW(),COLUMN(),4),L!$A:$A,0)-1,SL,,)&amp;Q53</f>
        <v xml:space="preserve">B. Is your responsible minerals sourcing policy publicly available on your website? (Note – If yes, the user shall specify the URL in the comment field.) </v>
      </c>
      <c r="C117" s="50"/>
      <c r="D117" s="423" t="s">
        <v>25</v>
      </c>
      <c r="E117" s="424"/>
      <c r="F117" s="50"/>
      <c r="G117" s="440" t="s">
        <v>20170</v>
      </c>
      <c r="H117" s="441"/>
      <c r="I117" s="441"/>
      <c r="J117" s="442"/>
      <c r="K117" s="30"/>
      <c r="L117" s="101" t="s">
        <v>18</v>
      </c>
      <c r="M117" s="100"/>
      <c r="P117" s="3"/>
      <c r="Q117" s="3"/>
      <c r="R117" s="3"/>
      <c r="S117" s="3"/>
      <c r="T117" s="3"/>
      <c r="U117" s="3"/>
      <c r="V117" s="3"/>
      <c r="W117" s="3"/>
      <c r="X117" s="3"/>
      <c r="Y117" s="3">
        <v>71</v>
      </c>
      <c r="Z117" s="3"/>
      <c r="AA117" s="3"/>
      <c r="AB117" s="3"/>
      <c r="AC117" s="3"/>
      <c r="AD117" s="3"/>
      <c r="AE117" s="3"/>
      <c r="AF117" s="3"/>
      <c r="AG117" s="3"/>
    </row>
    <row r="118" spans="1:33" ht="16.2">
      <c r="A118" s="35"/>
      <c r="B118" s="51"/>
      <c r="C118" s="9"/>
      <c r="D118" s="230"/>
      <c r="E118" s="230"/>
      <c r="F118" s="9"/>
      <c r="G118" s="231"/>
      <c r="H118" s="231"/>
      <c r="I118" s="231"/>
      <c r="J118" s="231"/>
      <c r="K118" s="30"/>
      <c r="L118" s="101"/>
      <c r="M118" s="100"/>
      <c r="P118" s="3"/>
      <c r="Q118" s="3"/>
      <c r="R118" s="3"/>
      <c r="S118" s="3"/>
      <c r="T118" s="3"/>
      <c r="U118" s="3"/>
      <c r="V118" s="3"/>
      <c r="W118" s="3"/>
      <c r="X118" s="3"/>
      <c r="Y118" s="3">
        <v>72</v>
      </c>
      <c r="Z118" s="3"/>
      <c r="AA118" s="3"/>
      <c r="AB118" s="3"/>
      <c r="AC118" s="3"/>
      <c r="AD118" s="3"/>
      <c r="AE118" s="3"/>
      <c r="AF118" s="3"/>
      <c r="AG118" s="3"/>
    </row>
    <row r="119" spans="1:33" ht="51.75" customHeight="1">
      <c r="A119" s="35"/>
      <c r="B119" s="387" t="str">
        <f ca="1">OFFSET(L!$C$1,MATCH("Declaration"&amp;ADDRESS(ROW(),COLUMN(),4),L!$A:$A,0)-1,SL,,)&amp;Q53</f>
        <v>C. Do you require your direct suppliers to source the specified minerals/metals from smelters whose due diligence practices have been validated by an independent third-party audit program?</v>
      </c>
      <c r="C119" s="229"/>
      <c r="D119" s="443"/>
      <c r="E119" s="443"/>
      <c r="F119" s="232"/>
      <c r="G119" s="444"/>
      <c r="H119" s="444"/>
      <c r="I119" s="444"/>
      <c r="J119" s="444"/>
      <c r="K119" s="30"/>
      <c r="L119" s="101" t="s">
        <v>15</v>
      </c>
      <c r="M119" s="100"/>
      <c r="P119" s="3"/>
      <c r="Q119" s="3"/>
      <c r="R119" s="3"/>
      <c r="S119" s="3"/>
      <c r="T119" s="3"/>
      <c r="U119" s="3"/>
      <c r="V119" s="3"/>
      <c r="W119" s="3"/>
      <c r="X119" s="3"/>
      <c r="Y119" s="3">
        <v>75</v>
      </c>
      <c r="Z119" s="3"/>
      <c r="AA119" s="3"/>
      <c r="AB119" s="3"/>
      <c r="AC119" s="3"/>
      <c r="AD119" s="3"/>
      <c r="AE119" s="3"/>
      <c r="AF119" s="3"/>
      <c r="AG119" s="3"/>
    </row>
    <row r="120" spans="1:33" ht="16.2">
      <c r="A120" s="35"/>
      <c r="B120" s="299" t="str">
        <f>IF(ISERROR(AA$12),"",AA$12&amp;"")&amp;P$54</f>
        <v>Cobalt</v>
      </c>
      <c r="C120" s="293"/>
      <c r="D120" s="423" t="s">
        <v>22</v>
      </c>
      <c r="E120" s="424"/>
      <c r="F120" s="9"/>
      <c r="G120" s="1"/>
      <c r="H120" s="389"/>
      <c r="I120" s="389"/>
      <c r="J120" s="390"/>
      <c r="K120" s="30"/>
      <c r="L120" s="101"/>
      <c r="M120">
        <f t="shared" ref="M120:M129" si="143">IF(AND(B120="",D120&lt;&gt;""),1,0)</f>
        <v>0</v>
      </c>
      <c r="P120" s="3"/>
      <c r="Q120" s="3"/>
      <c r="R120" s="3"/>
      <c r="S120" s="3"/>
      <c r="T120" s="3"/>
      <c r="U120" s="3"/>
      <c r="V120" s="3"/>
      <c r="W120" s="3"/>
      <c r="X120" s="3"/>
      <c r="Y120" s="3"/>
      <c r="Z120" s="3"/>
      <c r="AA120" s="3"/>
      <c r="AB120" s="3"/>
      <c r="AC120" s="3"/>
      <c r="AD120" s="3"/>
      <c r="AE120" s="3"/>
      <c r="AF120" s="3"/>
      <c r="AG120" s="3"/>
    </row>
    <row r="121" spans="1:33" ht="16.2">
      <c r="A121" s="35"/>
      <c r="B121" s="299" t="str">
        <f>IF(ISERROR(AA$13),"",AA$13&amp;"")&amp;P$55</f>
        <v>Lithium</v>
      </c>
      <c r="C121" s="293"/>
      <c r="D121" s="423" t="s">
        <v>22</v>
      </c>
      <c r="E121" s="424"/>
      <c r="F121" s="9"/>
      <c r="G121" s="1"/>
      <c r="H121" s="389"/>
      <c r="I121" s="389"/>
      <c r="J121" s="390"/>
      <c r="K121" s="30"/>
      <c r="L121" s="101"/>
      <c r="M121">
        <f t="shared" si="143"/>
        <v>0</v>
      </c>
      <c r="P121" s="3"/>
      <c r="Q121" s="3"/>
      <c r="R121" s="3"/>
      <c r="S121" s="3"/>
      <c r="T121" s="3"/>
      <c r="U121" s="3"/>
      <c r="V121" s="3"/>
      <c r="W121" s="3"/>
      <c r="X121" s="3"/>
      <c r="Y121" s="3"/>
      <c r="Z121" s="3"/>
      <c r="AA121" s="3"/>
      <c r="AB121" s="3"/>
      <c r="AC121" s="3"/>
      <c r="AD121" s="3"/>
      <c r="AE121" s="3"/>
      <c r="AF121" s="3"/>
      <c r="AG121" s="3"/>
    </row>
    <row r="122" spans="1:33" ht="16.2">
      <c r="A122" s="35"/>
      <c r="B122" s="299" t="str">
        <f>IF(ISERROR(AA$14),"",AA$14&amp;"")&amp;P$56</f>
        <v>Mica</v>
      </c>
      <c r="C122" s="7"/>
      <c r="D122" s="423" t="s">
        <v>22</v>
      </c>
      <c r="E122" s="424"/>
      <c r="F122" s="9"/>
      <c r="G122" s="1"/>
      <c r="H122" s="389"/>
      <c r="I122" s="389"/>
      <c r="J122" s="390"/>
      <c r="K122" s="30"/>
      <c r="L122" s="101"/>
      <c r="M122">
        <f t="shared" si="143"/>
        <v>0</v>
      </c>
      <c r="P122" s="3"/>
      <c r="Q122" s="3"/>
      <c r="R122" s="3"/>
      <c r="S122" s="3"/>
      <c r="T122" s="3"/>
      <c r="U122" s="3"/>
      <c r="V122" s="3"/>
      <c r="W122" s="3"/>
      <c r="X122" s="3"/>
      <c r="Y122" s="3"/>
      <c r="Z122" s="3"/>
      <c r="AA122" s="3"/>
      <c r="AB122" s="3"/>
      <c r="AC122" s="3"/>
      <c r="AD122" s="3"/>
      <c r="AE122" s="3"/>
      <c r="AF122" s="3"/>
      <c r="AG122" s="3"/>
    </row>
    <row r="123" spans="1:33" ht="16.2">
      <c r="A123" s="35"/>
      <c r="B123" s="299" t="str">
        <f>IF(ISERROR(AA$15),"",AA$15&amp;"")&amp;P$57</f>
        <v/>
      </c>
      <c r="C123" s="7"/>
      <c r="D123" s="423"/>
      <c r="E123" s="424"/>
      <c r="F123" s="9"/>
      <c r="G123" s="1"/>
      <c r="H123" s="389"/>
      <c r="I123" s="389"/>
      <c r="J123" s="390"/>
      <c r="K123" s="30"/>
      <c r="L123" s="101"/>
      <c r="M123">
        <f t="shared" si="143"/>
        <v>0</v>
      </c>
      <c r="P123" s="3"/>
      <c r="Q123" s="3"/>
      <c r="R123" s="3"/>
      <c r="S123" s="3"/>
      <c r="T123" s="3"/>
      <c r="U123" s="3"/>
      <c r="V123" s="3"/>
      <c r="W123" s="3"/>
      <c r="X123" s="3"/>
      <c r="Y123" s="3"/>
      <c r="Z123" s="3"/>
      <c r="AA123" s="3"/>
      <c r="AB123" s="3"/>
      <c r="AC123" s="3"/>
      <c r="AD123" s="3"/>
      <c r="AE123" s="3"/>
      <c r="AF123" s="3"/>
      <c r="AG123" s="3"/>
    </row>
    <row r="124" spans="1:33" ht="16.2">
      <c r="A124" s="35"/>
      <c r="B124" s="299" t="str">
        <f>IF(ISERROR(AA$16),"",AA$16&amp;"")&amp;P$58</f>
        <v/>
      </c>
      <c r="C124" s="7"/>
      <c r="D124" s="423"/>
      <c r="E124" s="424"/>
      <c r="F124" s="9"/>
      <c r="G124" s="1"/>
      <c r="H124" s="389"/>
      <c r="I124" s="389"/>
      <c r="J124" s="390"/>
      <c r="K124" s="30"/>
      <c r="L124" s="101"/>
      <c r="M124">
        <f t="shared" si="143"/>
        <v>0</v>
      </c>
      <c r="P124" s="3"/>
      <c r="Q124" s="3"/>
      <c r="R124" s="3"/>
      <c r="S124" s="3"/>
      <c r="T124" s="3"/>
      <c r="U124" s="3"/>
      <c r="V124" s="3"/>
      <c r="W124" s="3"/>
      <c r="X124" s="3"/>
      <c r="Y124" s="3"/>
      <c r="Z124" s="3"/>
      <c r="AA124" s="3"/>
      <c r="AB124" s="3"/>
      <c r="AC124" s="3"/>
      <c r="AD124" s="3"/>
      <c r="AE124" s="3"/>
      <c r="AF124" s="3"/>
      <c r="AG124" s="3"/>
    </row>
    <row r="125" spans="1:33" ht="17.100000000000001" customHeight="1">
      <c r="A125" s="35"/>
      <c r="B125" s="299" t="str">
        <f>IF(ISERROR(AA$17),"",AA$17&amp;"")&amp;P$59</f>
        <v/>
      </c>
      <c r="C125" s="7"/>
      <c r="D125" s="423"/>
      <c r="E125" s="424"/>
      <c r="F125" s="9"/>
      <c r="G125" s="1"/>
      <c r="H125" s="389"/>
      <c r="I125" s="389"/>
      <c r="J125" s="390"/>
      <c r="K125" s="30"/>
      <c r="L125" s="101"/>
      <c r="M125">
        <f t="shared" si="143"/>
        <v>0</v>
      </c>
      <c r="P125" s="3"/>
      <c r="Q125" s="3"/>
      <c r="R125" s="3"/>
      <c r="S125" s="3"/>
      <c r="T125" s="3"/>
      <c r="U125" s="3"/>
      <c r="V125" s="3"/>
      <c r="W125" s="3"/>
      <c r="X125" s="3"/>
      <c r="Y125" s="3"/>
      <c r="Z125" s="3"/>
      <c r="AA125" s="3"/>
      <c r="AB125" s="3"/>
      <c r="AC125" s="3"/>
      <c r="AD125" s="3"/>
      <c r="AE125" s="3"/>
      <c r="AF125" s="3"/>
      <c r="AG125" s="3"/>
    </row>
    <row r="126" spans="1:33" ht="17.100000000000001" hidden="1" customHeight="1">
      <c r="A126" s="35"/>
      <c r="B126" s="299" t="str">
        <f>IF(ISERROR(AA$18),"",AA$18&amp;"")&amp;P$60</f>
        <v/>
      </c>
      <c r="C126" s="7"/>
      <c r="D126" s="423"/>
      <c r="E126" s="424"/>
      <c r="F126" s="9"/>
      <c r="G126" s="1"/>
      <c r="H126" s="389"/>
      <c r="I126" s="389"/>
      <c r="J126" s="390"/>
      <c r="K126" s="30"/>
      <c r="L126" s="101"/>
      <c r="M126">
        <f t="shared" si="143"/>
        <v>0</v>
      </c>
      <c r="P126" s="3"/>
      <c r="Q126" s="3"/>
      <c r="R126" s="3"/>
      <c r="S126" s="3"/>
      <c r="T126" s="3"/>
      <c r="U126" s="3"/>
      <c r="V126" s="3"/>
      <c r="W126" s="3"/>
      <c r="X126" s="3"/>
      <c r="Y126" s="3"/>
      <c r="Z126" s="3"/>
      <c r="AA126" s="3"/>
      <c r="AB126" s="3"/>
      <c r="AC126" s="3"/>
      <c r="AD126" s="3"/>
      <c r="AE126" s="3"/>
      <c r="AF126" s="3"/>
      <c r="AG126" s="3"/>
    </row>
    <row r="127" spans="1:33" ht="17.100000000000001" hidden="1" customHeight="1">
      <c r="A127" s="35"/>
      <c r="B127" s="299" t="str">
        <f>IF(ISERROR(AA$19),"",AA$19&amp;"")&amp;P$61</f>
        <v/>
      </c>
      <c r="C127" s="7"/>
      <c r="D127" s="423"/>
      <c r="E127" s="424"/>
      <c r="F127" s="9"/>
      <c r="G127" s="1"/>
      <c r="H127" s="389"/>
      <c r="I127" s="389"/>
      <c r="J127" s="390"/>
      <c r="K127" s="30"/>
      <c r="L127" s="101"/>
      <c r="M127">
        <f t="shared" si="143"/>
        <v>0</v>
      </c>
      <c r="P127" s="3"/>
      <c r="Q127" s="3"/>
      <c r="R127" s="3"/>
      <c r="S127" s="3"/>
      <c r="T127" s="3"/>
      <c r="U127" s="3"/>
      <c r="V127" s="3"/>
      <c r="W127" s="3"/>
      <c r="X127" s="3"/>
      <c r="Y127" s="3"/>
      <c r="Z127" s="3"/>
      <c r="AA127" s="3"/>
      <c r="AB127" s="3"/>
      <c r="AC127" s="3"/>
      <c r="AD127" s="3"/>
      <c r="AE127" s="3"/>
      <c r="AF127" s="3"/>
      <c r="AG127" s="3"/>
    </row>
    <row r="128" spans="1:33" ht="17.100000000000001" hidden="1" customHeight="1">
      <c r="A128" s="35"/>
      <c r="B128" s="299" t="str">
        <f>IF(ISERROR(AA$20),"",AA$20&amp;"")&amp;P$62</f>
        <v/>
      </c>
      <c r="C128" s="7"/>
      <c r="D128" s="423"/>
      <c r="E128" s="424"/>
      <c r="F128" s="9"/>
      <c r="G128" s="1"/>
      <c r="H128" s="389"/>
      <c r="I128" s="389"/>
      <c r="J128" s="390"/>
      <c r="K128" s="30"/>
      <c r="L128" s="101"/>
      <c r="M128">
        <f t="shared" si="143"/>
        <v>0</v>
      </c>
      <c r="P128" s="3"/>
      <c r="Q128" s="3"/>
      <c r="R128" s="3"/>
      <c r="S128" s="3"/>
      <c r="T128" s="3"/>
      <c r="U128" s="3"/>
      <c r="V128" s="3"/>
      <c r="W128" s="3"/>
      <c r="X128" s="3"/>
      <c r="Y128" s="3"/>
      <c r="Z128" s="3"/>
      <c r="AA128" s="3"/>
      <c r="AB128" s="3"/>
      <c r="AC128" s="3"/>
      <c r="AD128" s="3"/>
      <c r="AE128" s="3"/>
      <c r="AF128" s="3"/>
      <c r="AG128" s="3"/>
    </row>
    <row r="129" spans="1:33" ht="17.100000000000001" hidden="1" customHeight="1">
      <c r="A129" s="35"/>
      <c r="B129" s="299" t="str">
        <f>IF(ISERROR(AA$21),"",AA$21&amp;"")&amp;P$63</f>
        <v/>
      </c>
      <c r="C129" s="7"/>
      <c r="D129" s="423"/>
      <c r="E129" s="424"/>
      <c r="F129" s="9"/>
      <c r="G129" s="1"/>
      <c r="H129" s="389"/>
      <c r="I129" s="389"/>
      <c r="J129" s="390"/>
      <c r="K129" s="30"/>
      <c r="L129" s="101"/>
      <c r="M129">
        <f t="shared" si="143"/>
        <v>0</v>
      </c>
      <c r="P129" s="3"/>
      <c r="Q129" s="3"/>
      <c r="R129" s="3"/>
      <c r="S129" s="3"/>
      <c r="T129" s="3"/>
      <c r="U129" s="3"/>
      <c r="V129" s="3"/>
      <c r="W129" s="3"/>
      <c r="X129" s="3"/>
      <c r="Y129" s="3"/>
      <c r="Z129" s="3"/>
      <c r="AA129" s="3"/>
      <c r="AB129" s="3"/>
      <c r="AC129" s="3"/>
      <c r="AD129" s="3"/>
      <c r="AE129" s="3"/>
      <c r="AF129" s="3"/>
      <c r="AG129" s="3"/>
    </row>
    <row r="130" spans="1:33" ht="17.100000000000001" customHeight="1">
      <c r="A130" s="35"/>
      <c r="B130" s="52"/>
      <c r="C130" s="9"/>
      <c r="D130" s="53"/>
      <c r="E130" s="53"/>
      <c r="F130" s="9"/>
      <c r="G130" s="48"/>
      <c r="H130" s="48"/>
      <c r="I130" s="48"/>
      <c r="J130" s="48"/>
      <c r="K130" s="30"/>
      <c r="L130" s="101"/>
      <c r="M130" s="100"/>
      <c r="P130" s="3"/>
      <c r="Q130" s="3"/>
      <c r="R130" s="3"/>
      <c r="S130" s="3"/>
      <c r="T130" s="3"/>
      <c r="U130" s="3"/>
      <c r="V130" s="3"/>
      <c r="W130" s="3"/>
      <c r="X130" s="3"/>
      <c r="Y130" s="3">
        <v>76</v>
      </c>
      <c r="Z130" s="3"/>
      <c r="AA130" s="3"/>
      <c r="AB130" s="3"/>
      <c r="AC130" s="3"/>
      <c r="AD130" s="3"/>
      <c r="AE130" s="3"/>
      <c r="AF130" s="3"/>
      <c r="AG130" s="3"/>
    </row>
    <row r="131" spans="1:33" ht="48" customHeight="1">
      <c r="A131" s="35"/>
      <c r="B131" s="387" t="str">
        <f ca="1">OFFSET(L!$C$1,MATCH("Declaration"&amp;ADDRESS(ROW(),COLUMN(),4),L!$A:$A,0)-1,SL,,)&amp;Q53</f>
        <v>D. Have you implemented due diligence measures for responsible sourcing?</v>
      </c>
      <c r="C131" s="50"/>
      <c r="D131" s="423" t="s">
        <v>25</v>
      </c>
      <c r="E131" s="424"/>
      <c r="F131" s="50"/>
      <c r="G131" s="1"/>
      <c r="H131" s="389"/>
      <c r="I131" s="389"/>
      <c r="J131" s="390"/>
      <c r="K131" s="30"/>
      <c r="L131" s="101" t="s">
        <v>18</v>
      </c>
      <c r="M131" s="100"/>
      <c r="P131" s="3"/>
      <c r="Q131" s="3"/>
      <c r="R131" s="3"/>
      <c r="S131" s="3"/>
      <c r="T131" s="3"/>
      <c r="U131" s="3"/>
      <c r="V131" s="3"/>
      <c r="W131" s="3"/>
      <c r="X131" s="3"/>
      <c r="Y131" s="3">
        <v>77</v>
      </c>
      <c r="Z131" s="3"/>
      <c r="AA131" s="3"/>
      <c r="AB131" s="3"/>
      <c r="AC131" s="3"/>
      <c r="AD131" s="3"/>
      <c r="AE131" s="3"/>
      <c r="AF131" s="3"/>
      <c r="AG131" s="3"/>
    </row>
    <row r="132" spans="1:33" ht="16.2">
      <c r="A132" s="35"/>
      <c r="K132" s="30"/>
      <c r="L132" s="101"/>
      <c r="M132" s="100"/>
      <c r="P132" s="3"/>
      <c r="Q132" s="3"/>
      <c r="R132" s="3"/>
      <c r="S132" s="3"/>
      <c r="T132" s="3"/>
      <c r="U132" s="3"/>
      <c r="V132" s="3"/>
      <c r="W132" s="3"/>
      <c r="X132" s="3"/>
      <c r="Y132" s="3">
        <v>78</v>
      </c>
      <c r="Z132" s="3"/>
      <c r="AA132" s="3"/>
      <c r="AB132" s="3"/>
      <c r="AC132" s="3"/>
      <c r="AD132" s="3"/>
      <c r="AE132" s="3"/>
      <c r="AF132" s="3"/>
      <c r="AG132" s="3"/>
    </row>
    <row r="133" spans="1:33" ht="72" customHeight="1">
      <c r="A133" s="35"/>
      <c r="B133" s="387" t="str">
        <f ca="1">OFFSET(L!$C$1,MATCH("Declaration"&amp;ADDRESS(ROW(),COLUMN(),4),L!$A:$A,0)-1,SL,,)&amp;Q53</f>
        <v>E. Does your company conduct supply chain survey(s) of your relevant supplier(s) on the specified minerals/metals?</v>
      </c>
      <c r="C133" s="50"/>
      <c r="D133" s="448"/>
      <c r="E133" s="449"/>
      <c r="F133" s="50"/>
      <c r="G133" s="1" t="s">
        <v>20171</v>
      </c>
      <c r="H133" s="389"/>
      <c r="I133" s="389"/>
      <c r="J133" s="390"/>
      <c r="K133" s="30"/>
      <c r="L133" s="101" t="s">
        <v>18</v>
      </c>
      <c r="M133" s="100"/>
      <c r="P133" s="3"/>
      <c r="Q133" s="3"/>
      <c r="R133" s="3"/>
      <c r="S133" s="3"/>
      <c r="T133" s="3"/>
      <c r="U133" s="3"/>
      <c r="V133" s="3"/>
      <c r="W133" s="3"/>
      <c r="X133" t="s">
        <v>23</v>
      </c>
      <c r="Y133" s="3">
        <v>79</v>
      </c>
      <c r="Z133" s="3"/>
      <c r="AA133" s="3"/>
      <c r="AB133" s="3"/>
      <c r="AC133" s="3"/>
      <c r="AD133" s="3"/>
      <c r="AE133" s="3"/>
      <c r="AF133" s="3"/>
      <c r="AG133" s="3"/>
    </row>
    <row r="134" spans="1:33" ht="16.2">
      <c r="A134" s="35"/>
      <c r="B134" s="54"/>
      <c r="C134" s="9"/>
      <c r="D134" s="354"/>
      <c r="E134" s="354"/>
      <c r="F134" s="10"/>
      <c r="G134" s="439"/>
      <c r="H134" s="439"/>
      <c r="I134" s="439"/>
      <c r="J134" s="439"/>
      <c r="K134" s="30"/>
      <c r="L134" s="101"/>
      <c r="M134" s="100"/>
      <c r="P134" s="3"/>
      <c r="Q134" s="3"/>
      <c r="R134" s="3"/>
      <c r="S134" s="3"/>
      <c r="T134" s="3"/>
      <c r="U134" s="3"/>
      <c r="V134" s="3"/>
      <c r="W134" s="3"/>
      <c r="X134" s="3"/>
      <c r="Y134" s="3">
        <v>80</v>
      </c>
      <c r="Z134" s="3"/>
      <c r="AA134" s="3"/>
      <c r="AB134" s="3"/>
      <c r="AC134" s="3"/>
      <c r="AD134" s="3"/>
      <c r="AE134" s="3"/>
      <c r="AF134" s="3"/>
      <c r="AG134" s="3"/>
    </row>
    <row r="135" spans="1:33" ht="44.25" customHeight="1">
      <c r="A135" s="35"/>
      <c r="B135" s="387" t="str">
        <f ca="1">OFFSET(L!$C$1,MATCH("Declaration"&amp;ADDRESS(ROW(),COLUMN(),4),L!$A:$A,0)-1,SL,,)&amp;Q53</f>
        <v xml:space="preserve">F. Do you review due diligence information received from your suppliers against your company’s expectations? </v>
      </c>
      <c r="C135" s="50"/>
      <c r="D135" s="423" t="s">
        <v>25</v>
      </c>
      <c r="E135" s="424"/>
      <c r="F135" s="50"/>
      <c r="G135" s="1" t="s">
        <v>20171</v>
      </c>
      <c r="H135" s="389"/>
      <c r="I135" s="389"/>
      <c r="J135" s="390"/>
      <c r="K135" s="30"/>
      <c r="L135" s="101" t="s">
        <v>15</v>
      </c>
      <c r="M135" s="100"/>
      <c r="P135" s="3"/>
      <c r="Q135" s="3"/>
      <c r="R135" s="3"/>
      <c r="S135" s="3"/>
      <c r="T135" s="3"/>
      <c r="U135" s="3"/>
      <c r="V135" s="3"/>
      <c r="W135" s="3"/>
      <c r="X135" s="3" t="s">
        <v>24</v>
      </c>
      <c r="Y135" s="3">
        <v>81</v>
      </c>
      <c r="Z135" s="3"/>
      <c r="AA135" s="3"/>
      <c r="AB135" s="3"/>
      <c r="AC135" s="3"/>
      <c r="AD135" s="3"/>
      <c r="AE135" s="3"/>
      <c r="AF135" s="3"/>
      <c r="AG135" s="3"/>
    </row>
    <row r="136" spans="1:33" ht="16.2">
      <c r="A136" s="35"/>
      <c r="B136" s="51"/>
      <c r="C136" s="9"/>
      <c r="D136" s="354"/>
      <c r="E136" s="354"/>
      <c r="F136" s="10"/>
      <c r="G136" s="450"/>
      <c r="H136" s="450"/>
      <c r="I136" s="450"/>
      <c r="J136" s="450"/>
      <c r="K136" s="30"/>
      <c r="L136" s="101"/>
      <c r="M136" s="100"/>
      <c r="P136" s="3"/>
      <c r="Q136" s="3"/>
      <c r="R136" s="3"/>
      <c r="S136" s="3"/>
      <c r="T136" s="3"/>
      <c r="U136" s="3"/>
      <c r="V136" s="3"/>
      <c r="W136" s="3"/>
      <c r="X136" s="3"/>
      <c r="Y136" s="3">
        <v>82</v>
      </c>
      <c r="Z136" s="3"/>
      <c r="AA136" s="3"/>
      <c r="AB136" s="3"/>
      <c r="AC136" s="3"/>
      <c r="AD136" s="3"/>
      <c r="AE136" s="3"/>
      <c r="AF136" s="3"/>
      <c r="AG136" s="3"/>
    </row>
    <row r="137" spans="1:33" ht="45.75" customHeight="1">
      <c r="A137" s="35"/>
      <c r="B137" s="387" t="str">
        <f ca="1">OFFSET(L!$C$1,MATCH("Declaration"&amp;ADDRESS(ROW(),COLUMN(),4),L!$A:$A,0)-1,SL,,)&amp;Q53</f>
        <v xml:space="preserve">G. Does your review process include corrective action management? </v>
      </c>
      <c r="C137" s="50"/>
      <c r="D137" s="423" t="s">
        <v>25</v>
      </c>
      <c r="E137" s="424"/>
      <c r="F137" s="50"/>
      <c r="G137" s="1" t="s">
        <v>20171</v>
      </c>
      <c r="H137" s="389"/>
      <c r="I137" s="389"/>
      <c r="J137" s="390"/>
      <c r="K137" s="30"/>
      <c r="L137" s="101" t="s">
        <v>18</v>
      </c>
      <c r="M137" s="100"/>
      <c r="P137" s="3"/>
      <c r="Q137" s="3"/>
      <c r="R137" s="3"/>
      <c r="S137" s="3"/>
      <c r="T137" s="3"/>
      <c r="U137" s="3"/>
      <c r="V137" s="3"/>
      <c r="W137" s="3"/>
      <c r="X137" s="3"/>
      <c r="Y137" s="3">
        <v>83</v>
      </c>
      <c r="Z137" s="3"/>
      <c r="AA137" s="3"/>
      <c r="AB137" s="3"/>
      <c r="AC137" s="3"/>
      <c r="AD137" s="3"/>
      <c r="AE137" s="3"/>
      <c r="AF137" s="3"/>
      <c r="AG137" s="3"/>
    </row>
    <row r="138" spans="1:33" ht="16.2">
      <c r="A138" s="35"/>
      <c r="B138" s="445" t="str">
        <f>IF(OR($D$8="",$I$3=""),"","Click here to check required fields completion")</f>
        <v/>
      </c>
      <c r="C138" s="445"/>
      <c r="D138" s="445"/>
      <c r="E138" s="445"/>
      <c r="F138" s="445"/>
      <c r="G138" s="445"/>
      <c r="H138" s="445"/>
      <c r="I138" s="445"/>
      <c r="J138" s="445"/>
      <c r="K138" s="30"/>
      <c r="L138" s="102"/>
      <c r="P138" s="3"/>
      <c r="Q138" s="3"/>
      <c r="R138" s="3"/>
      <c r="S138" s="3"/>
      <c r="T138" s="3"/>
      <c r="U138" s="3"/>
      <c r="V138" s="3"/>
      <c r="W138" s="3"/>
      <c r="X138" s="3"/>
      <c r="Y138" s="3">
        <v>86</v>
      </c>
      <c r="Z138" s="3"/>
      <c r="AA138" s="3"/>
      <c r="AB138" s="3"/>
      <c r="AC138" s="3"/>
      <c r="AD138" s="3"/>
      <c r="AE138" s="3"/>
      <c r="AF138" s="3"/>
      <c r="AG138" s="3"/>
    </row>
    <row r="139" spans="1:33" ht="16.8" thickBot="1">
      <c r="A139" s="446" t="str">
        <f ca="1">OFFSET(L!$C$1,MATCH("General"&amp;"Cpy",L!$A:$A,0)-1,SL,,)</f>
        <v>© 2025 Responsible Minerals Initiative. All rights reserved.</v>
      </c>
      <c r="B139" s="447"/>
      <c r="C139" s="447"/>
      <c r="D139" s="447"/>
      <c r="E139" s="447"/>
      <c r="F139" s="447"/>
      <c r="G139" s="447"/>
      <c r="H139" s="447"/>
      <c r="I139" s="447"/>
      <c r="J139" s="447"/>
      <c r="K139" s="55"/>
      <c r="L139" s="102"/>
      <c r="P139" s="3"/>
      <c r="Q139" s="3"/>
      <c r="R139" s="3"/>
      <c r="S139" s="3"/>
      <c r="T139" s="3"/>
      <c r="U139" s="3"/>
      <c r="V139" s="3"/>
      <c r="W139" s="3"/>
      <c r="X139" s="3"/>
      <c r="Y139" s="3">
        <v>87</v>
      </c>
      <c r="Z139" s="3"/>
      <c r="AA139" s="3"/>
      <c r="AB139" s="3"/>
      <c r="AC139" s="3"/>
      <c r="AD139" s="3"/>
      <c r="AE139" s="3"/>
      <c r="AF139" s="3"/>
      <c r="AG139" s="3"/>
    </row>
    <row r="140" spans="1:33" ht="16.8" thickTop="1">
      <c r="L140" s="95"/>
      <c r="P140" s="3"/>
      <c r="Q140" s="3"/>
      <c r="R140" s="3"/>
      <c r="S140" s="3"/>
      <c r="T140" s="3"/>
      <c r="U140" s="3"/>
      <c r="V140" s="3"/>
      <c r="W140" s="3"/>
      <c r="X140" s="3"/>
      <c r="Y140" s="3"/>
      <c r="Z140" s="3"/>
      <c r="AA140" s="3"/>
      <c r="AB140" s="3"/>
      <c r="AC140" s="3"/>
      <c r="AD140" s="3"/>
      <c r="AE140" s="3"/>
      <c r="AF140" s="3"/>
      <c r="AG140" s="3"/>
    </row>
    <row r="141" spans="1:33" ht="17.399999999999999" customHeight="1"/>
    <row r="142" spans="1:33" ht="17.399999999999999" hidden="1" customHeight="1">
      <c r="B142" s="368"/>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18682</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8" t="s">
        <v>18958</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18683</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19180</v>
      </c>
    </row>
    <row r="176" spans="2:3" ht="17.399999999999999" hidden="1" customHeight="1">
      <c r="B176" s="172" t="s">
        <v>18684</v>
      </c>
      <c r="C176" t="s">
        <v>19181</v>
      </c>
    </row>
    <row r="177" spans="2:3" ht="17.399999999999999" hidden="1" customHeight="1">
      <c r="B177" s="172" t="s">
        <v>18686</v>
      </c>
      <c r="C177" t="s">
        <v>19182</v>
      </c>
    </row>
    <row r="178" spans="2:3" ht="17.399999999999999" hidden="1" customHeight="1">
      <c r="B178" s="172" t="s">
        <v>18687</v>
      </c>
      <c r="C178" t="s">
        <v>19183</v>
      </c>
    </row>
    <row r="179" spans="2:3" ht="17.399999999999999" hidden="1" customHeight="1">
      <c r="B179" s="172" t="s">
        <v>41</v>
      </c>
      <c r="C179" t="s">
        <v>19184</v>
      </c>
    </row>
    <row r="180" spans="2:3" ht="17.399999999999999" hidden="1" customHeight="1">
      <c r="B180" s="172" t="s">
        <v>18685</v>
      </c>
      <c r="C180" t="s">
        <v>19185</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18688</v>
      </c>
    </row>
    <row r="186" spans="2:3" ht="17.399999999999999" hidden="1" customHeight="1"/>
    <row r="187" spans="2:3" ht="17.399999999999999" hidden="1" customHeight="1"/>
    <row r="188" spans="2:3" ht="17.399999999999999" hidden="1" customHeight="1">
      <c r="B188" s="369"/>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4A629C2-A491-40B3-8221-D3D44E04CDA8}"/>
    <hyperlink ref="D24" r:id="rId2" xr:uid="{79AACF25-09FF-4EF7-8444-2AB0BE5B3051}"/>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4"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5" width="9" style="96" hidden="1" customWidth="1"/>
    <col min="36" max="39" width="9" style="96" customWidth="1"/>
    <col min="40" max="16384" width="9" style="96"/>
  </cols>
  <sheetData>
    <row r="1" spans="1:34" s="17" customFormat="1" ht="13.8" thickTop="1">
      <c r="A1" s="199"/>
      <c r="B1" s="137"/>
      <c r="C1" s="137"/>
      <c r="D1" s="137"/>
      <c r="E1" s="137"/>
      <c r="F1" s="137"/>
      <c r="G1" s="137"/>
      <c r="H1" s="137"/>
      <c r="I1" s="137"/>
      <c r="J1" s="137"/>
      <c r="K1" s="137"/>
      <c r="L1" s="137"/>
      <c r="M1" s="137"/>
      <c r="N1" s="137"/>
      <c r="O1" s="137"/>
      <c r="P1" s="137"/>
      <c r="Q1" s="138"/>
      <c r="R1" s="109"/>
      <c r="S1" s="109"/>
      <c r="T1" s="109"/>
      <c r="U1" s="17" t="s">
        <v>39</v>
      </c>
      <c r="AB1" s="311"/>
    </row>
    <row r="2" spans="1:34" s="17" customFormat="1" ht="27" customHeight="1">
      <c r="A2" s="200"/>
      <c r="B2" s="153" t="str">
        <f ca="1">OFFSET(L!$C$1,MATCH("Smelter List"&amp;ADDRESS(ROW(),COLUMN(),4),L!$A:$A,0)-1,SL,,)</f>
        <v>TO BEGIN:</v>
      </c>
      <c r="C2" s="142"/>
      <c r="D2" s="142"/>
      <c r="E2" s="142"/>
      <c r="F2" s="161"/>
      <c r="G2" s="161"/>
      <c r="H2" s="161"/>
      <c r="I2" s="283"/>
      <c r="J2" s="464" t="str">
        <f ca="1">OFFSET(L!$C$1,MATCH("Smelter List"&amp;ADDRESS(ROW(),COLUMN(),4),L!$A:$A,0)-1,SL,,)</f>
        <v>Link to "RMAP Conformant Smelter List"</v>
      </c>
      <c r="K2" s="465"/>
      <c r="L2" s="465"/>
      <c r="M2" s="465"/>
      <c r="N2" s="465"/>
      <c r="O2" s="465"/>
      <c r="P2" s="162"/>
      <c r="Q2" s="163"/>
      <c r="R2" s="164"/>
      <c r="S2" s="164"/>
      <c r="T2" s="164"/>
      <c r="AB2" s="311"/>
      <c r="AH2" s="130" t="s">
        <v>25</v>
      </c>
    </row>
    <row r="3" spans="1:34" s="17" customFormat="1" ht="249.6" customHeight="1">
      <c r="A3" s="201"/>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0" t="s">
        <v>20117</v>
      </c>
      <c r="R3" s="128"/>
      <c r="S3" s="128"/>
      <c r="T3" s="128"/>
      <c r="W3" s="139"/>
      <c r="X3" s="139"/>
      <c r="Y3" s="139"/>
      <c r="Z3" s="139"/>
      <c r="AB3" s="311"/>
      <c r="AH3" s="130" t="s">
        <v>22</v>
      </c>
    </row>
    <row r="4" spans="1:34"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C4" s="140" t="s">
        <v>20113</v>
      </c>
      <c r="AD4" s="140" t="s">
        <v>20114</v>
      </c>
      <c r="AH4" s="130" t="s">
        <v>26</v>
      </c>
    </row>
    <row r="5" spans="1:34" s="170" customFormat="1" ht="20.399999999999999">
      <c r="A5" s="197"/>
      <c r="B5" s="303"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5" t="str">
        <f ca="1">IF(ISERROR($V5),"",OFFSET('Smelter Look-up'!$G$4,$V5-4,0))</f>
        <v/>
      </c>
      <c r="I5" s="206" t="str">
        <f ca="1">IF(ISERROR($V5),"",OFFSET('Smelter Look-up'!$H$4,$V5-4,0))</f>
        <v/>
      </c>
      <c r="J5" s="206" t="str">
        <f ca="1">IF(ISERROR($V5),"",OFFSET('Smelter Look-up'!$I$4,$V5-4,0))</f>
        <v/>
      </c>
      <c r="K5" s="150"/>
      <c r="L5" s="150"/>
      <c r="M5" s="150"/>
      <c r="N5" s="150"/>
      <c r="O5" s="150"/>
      <c r="P5" s="208"/>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3" t="str">
        <f t="shared" ref="AB5:AB12" si="2">IF(C5="","",B5)</f>
        <v/>
      </c>
      <c r="AC5" s="170" t="str">
        <f>B5</f>
        <v/>
      </c>
      <c r="AD5" s="170" t="str">
        <f>IF(C5="Smelter not listed",D5,C5)</f>
        <v/>
      </c>
    </row>
    <row r="6" spans="1:34" s="170" customFormat="1" ht="20.399999999999999">
      <c r="A6" s="197"/>
      <c r="B6" s="303"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5" t="str">
        <f ca="1">IF(ISERROR($V6),"",OFFSET('Smelter Look-up'!$G$4,$V6-4,0))</f>
        <v/>
      </c>
      <c r="I6" s="206" t="str">
        <f ca="1">IF(ISERROR($V6),"",OFFSET('Smelter Look-up'!$H$4,$V6-4,0))</f>
        <v/>
      </c>
      <c r="J6" s="206" t="str">
        <f ca="1">IF(ISERROR($V6),"",OFFSET('Smelter Look-up'!$I$4,$V6-4,0))</f>
        <v/>
      </c>
      <c r="K6" s="150"/>
      <c r="L6" s="150"/>
      <c r="M6" s="150"/>
      <c r="N6" s="150"/>
      <c r="O6" s="150"/>
      <c r="P6" s="208"/>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3" t="str">
        <f t="shared" si="2"/>
        <v/>
      </c>
      <c r="AC6" s="170" t="str">
        <f t="shared" ref="AC6:AC69" si="3">B6</f>
        <v/>
      </c>
      <c r="AD6" s="170" t="str">
        <f t="shared" ref="AD6:AD69" si="4">IF(C6="Smelter not listed",D6,C6)</f>
        <v/>
      </c>
    </row>
    <row r="7" spans="1:34" s="170" customFormat="1" ht="20.399999999999999">
      <c r="A7" s="197"/>
      <c r="B7" s="303"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5" t="str">
        <f ca="1">IF(ISERROR($V7),"",OFFSET('Smelter Look-up'!$G$4,$V7-4,0))</f>
        <v/>
      </c>
      <c r="I7" s="206" t="str">
        <f ca="1">IF(ISERROR($V7),"",OFFSET('Smelter Look-up'!$H$4,$V7-4,0))</f>
        <v/>
      </c>
      <c r="J7" s="206" t="str">
        <f ca="1">IF(ISERROR($V7),"",OFFSET('Smelter Look-up'!$I$4,$V7-4,0))</f>
        <v/>
      </c>
      <c r="K7" s="150"/>
      <c r="L7" s="150"/>
      <c r="M7" s="150"/>
      <c r="N7" s="150"/>
      <c r="O7" s="150"/>
      <c r="P7" s="208"/>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3" t="str">
        <f t="shared" si="2"/>
        <v/>
      </c>
      <c r="AC7" s="170" t="str">
        <f t="shared" si="3"/>
        <v/>
      </c>
      <c r="AD7" s="170" t="str">
        <f t="shared" si="4"/>
        <v/>
      </c>
    </row>
    <row r="8" spans="1:34" s="170" customFormat="1" ht="20.399999999999999">
      <c r="A8" s="197"/>
      <c r="B8" s="303"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5" t="str">
        <f ca="1">IF(ISERROR($V8),"",OFFSET('Smelter Look-up'!$G$4,$V8-4,0))</f>
        <v/>
      </c>
      <c r="I8" s="206" t="str">
        <f ca="1">IF(ISERROR($V8),"",OFFSET('Smelter Look-up'!$H$4,$V8-4,0))</f>
        <v/>
      </c>
      <c r="J8" s="206" t="str">
        <f ca="1">IF(ISERROR($V8),"",OFFSET('Smelter Look-up'!$I$4,$V8-4,0))</f>
        <v/>
      </c>
      <c r="K8" s="150"/>
      <c r="L8" s="150"/>
      <c r="M8" s="150"/>
      <c r="N8" s="150"/>
      <c r="O8" s="150"/>
      <c r="P8" s="208"/>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3" t="str">
        <f t="shared" si="2"/>
        <v/>
      </c>
      <c r="AC8" s="170" t="str">
        <f t="shared" si="3"/>
        <v/>
      </c>
      <c r="AD8" s="170" t="str">
        <f t="shared" si="4"/>
        <v/>
      </c>
    </row>
    <row r="9" spans="1:34" s="170" customFormat="1" ht="20.399999999999999">
      <c r="A9" s="197"/>
      <c r="B9" s="303"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5" t="str">
        <f ca="1">IF(ISERROR($V9),"",OFFSET('Smelter Look-up'!$G$4,$V9-4,0))</f>
        <v/>
      </c>
      <c r="I9" s="206" t="str">
        <f ca="1">IF(ISERROR($V9),"",OFFSET('Smelter Look-up'!$H$4,$V9-4,0))</f>
        <v/>
      </c>
      <c r="J9" s="206" t="str">
        <f ca="1">IF(ISERROR($V9),"",OFFSET('Smelter Look-up'!$I$4,$V9-4,0))</f>
        <v/>
      </c>
      <c r="K9" s="150"/>
      <c r="L9" s="150"/>
      <c r="M9" s="150"/>
      <c r="N9" s="150"/>
      <c r="O9" s="150"/>
      <c r="P9" s="208"/>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3" t="str">
        <f t="shared" si="2"/>
        <v/>
      </c>
      <c r="AC9" s="170" t="str">
        <f t="shared" si="3"/>
        <v/>
      </c>
      <c r="AD9" s="170" t="str">
        <f t="shared" si="4"/>
        <v/>
      </c>
    </row>
    <row r="10" spans="1:34" s="170" customFormat="1" ht="20.399999999999999">
      <c r="A10" s="197"/>
      <c r="B10" s="303"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5" t="str">
        <f ca="1">IF(ISERROR($V10),"",OFFSET('Smelter Look-up'!$G$4,$V10-4,0))</f>
        <v/>
      </c>
      <c r="I10" s="206" t="str">
        <f ca="1">IF(ISERROR($V10),"",OFFSET('Smelter Look-up'!$H$4,$V10-4,0))</f>
        <v/>
      </c>
      <c r="J10" s="206" t="str">
        <f ca="1">IF(ISERROR($V10),"",OFFSET('Smelter Look-up'!$I$4,$V10-4,0))</f>
        <v/>
      </c>
      <c r="K10" s="150"/>
      <c r="L10" s="150"/>
      <c r="M10" s="150"/>
      <c r="N10" s="150"/>
      <c r="O10" s="150"/>
      <c r="P10" s="208"/>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3" t="str">
        <f t="shared" si="2"/>
        <v/>
      </c>
      <c r="AC10" s="170" t="str">
        <f t="shared" si="3"/>
        <v/>
      </c>
      <c r="AD10" s="170" t="str">
        <f t="shared" si="4"/>
        <v/>
      </c>
    </row>
    <row r="11" spans="1:34" s="170" customFormat="1" ht="20.399999999999999">
      <c r="A11" s="198"/>
      <c r="B11" s="303"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5" t="str">
        <f ca="1">IF(ISERROR($V11),"",OFFSET('Smelter Look-up'!$G$4,$V11-4,0))</f>
        <v/>
      </c>
      <c r="I11" s="206" t="str">
        <f ca="1">IF(ISERROR($V11),"",OFFSET('Smelter Look-up'!$H$4,$V11-4,0))</f>
        <v/>
      </c>
      <c r="J11" s="206" t="str">
        <f ca="1">IF(ISERROR($V11),"",OFFSET('Smelter Look-up'!$I$4,$V11-4,0))</f>
        <v/>
      </c>
      <c r="K11" s="150"/>
      <c r="L11" s="150"/>
      <c r="M11" s="150"/>
      <c r="N11" s="150"/>
      <c r="O11" s="150"/>
      <c r="P11" s="208"/>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3" t="str">
        <f t="shared" si="2"/>
        <v/>
      </c>
      <c r="AC11" s="170" t="str">
        <f t="shared" si="3"/>
        <v/>
      </c>
      <c r="AD11" s="170" t="str">
        <f t="shared" si="4"/>
        <v/>
      </c>
    </row>
    <row r="12" spans="1:34" s="170" customFormat="1" ht="20.399999999999999">
      <c r="A12" s="197"/>
      <c r="B12" s="303"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5" t="str">
        <f ca="1">IF(ISERROR($V12),"",OFFSET('Smelter Look-up'!$G$4,$V12-4,0))</f>
        <v/>
      </c>
      <c r="I12" s="206" t="str">
        <f ca="1">IF(ISERROR($V12),"",OFFSET('Smelter Look-up'!$H$4,$V12-4,0))</f>
        <v/>
      </c>
      <c r="J12" s="206" t="str">
        <f ca="1">IF(ISERROR($V12),"",OFFSET('Smelter Look-up'!$I$4,$V12-4,0))</f>
        <v/>
      </c>
      <c r="K12" s="150"/>
      <c r="L12" s="150"/>
      <c r="M12" s="150"/>
      <c r="N12" s="150"/>
      <c r="O12" s="150"/>
      <c r="P12" s="208"/>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3" t="str">
        <f t="shared" si="2"/>
        <v/>
      </c>
      <c r="AC12" s="170" t="str">
        <f t="shared" si="3"/>
        <v/>
      </c>
      <c r="AD12" s="170" t="str">
        <f t="shared" si="4"/>
        <v/>
      </c>
    </row>
    <row r="13" spans="1:34" s="170" customFormat="1" ht="20.399999999999999">
      <c r="A13" s="197"/>
      <c r="B13" s="303"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5" t="str">
        <f ca="1">IF(ISERROR($V13),"",OFFSET('Smelter Look-up'!$G$4,$V13-4,0))</f>
        <v/>
      </c>
      <c r="I13" s="206" t="str">
        <f ca="1">IF(ISERROR($V13),"",OFFSET('Smelter Look-up'!$H$4,$V13-4,0))</f>
        <v/>
      </c>
      <c r="J13" s="206" t="str">
        <f ca="1">IF(ISERROR($V13),"",OFFSET('Smelter Look-up'!$I$4,$V13-4,0))</f>
        <v/>
      </c>
      <c r="K13" s="150"/>
      <c r="L13" s="150"/>
      <c r="M13" s="150"/>
      <c r="N13" s="150"/>
      <c r="O13" s="150"/>
      <c r="P13" s="208"/>
      <c r="Q13" s="151"/>
      <c r="R13" s="149" t="str">
        <f ca="1">IF(ISERROR($V13),"",OFFSET('Smelter Look-up'!$C$4,$V13-4,0)&amp;"")</f>
        <v/>
      </c>
      <c r="S13" s="155" t="str">
        <f t="shared" ref="S13:S63" ca="1" si="5">IF(B13="","",IF(ISERROR(MATCH($E13,CL,0)),"Unknown",INDIRECT("'C'!$A$"&amp;MATCH($E13,CL,0)+1)))</f>
        <v/>
      </c>
      <c r="T13" s="155" t="str">
        <f ca="1">IF(B13="","",IF(ISERROR(MATCH($J13,SorP!$B$1:$B$6226,0)),"",INDIRECT("'SorP'!$A$"&amp;MATCH($S13&amp;$J13,SorP!C:C,0))))</f>
        <v/>
      </c>
      <c r="U13" s="168"/>
      <c r="V13" s="169" t="e">
        <f>IF(C13="",NA(),MATCH($B13&amp;$C13,'Smelter Look-up'!$J:$J,0))</f>
        <v>#N/A</v>
      </c>
      <c r="X13" s="170">
        <f t="shared" ref="X13:X62" ca="1" si="6">IF(AND(C13="Smelter not listed",OR(LEN(D13)=0,LEN(E13)=0)),1,0)</f>
        <v>0</v>
      </c>
      <c r="AB13" s="313" t="str">
        <f t="shared" ref="AB13:AB69" si="7">IF(C13="","",B13)</f>
        <v/>
      </c>
      <c r="AC13" s="170" t="str">
        <f t="shared" si="3"/>
        <v/>
      </c>
      <c r="AD13" s="170" t="str">
        <f t="shared" si="4"/>
        <v/>
      </c>
    </row>
    <row r="14" spans="1:34" s="170" customFormat="1" ht="20.399999999999999">
      <c r="A14" s="198"/>
      <c r="B14" s="303"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5" t="str">
        <f ca="1">IF(ISERROR($V14),"",OFFSET('Smelter Look-up'!$G$4,$V14-4,0))</f>
        <v/>
      </c>
      <c r="I14" s="206" t="str">
        <f ca="1">IF(ISERROR($V14),"",OFFSET('Smelter Look-up'!$H$4,$V14-4,0))</f>
        <v/>
      </c>
      <c r="J14" s="206" t="str">
        <f ca="1">IF(ISERROR($V14),"",OFFSET('Smelter Look-up'!$I$4,$V14-4,0))</f>
        <v/>
      </c>
      <c r="K14" s="150"/>
      <c r="L14" s="150"/>
      <c r="M14" s="150"/>
      <c r="N14" s="150"/>
      <c r="O14" s="150"/>
      <c r="P14" s="208"/>
      <c r="Q14" s="151"/>
      <c r="R14" s="149" t="str">
        <f ca="1">IF(ISERROR($V14),"",OFFSET('Smelter Look-up'!$C$4,$V14-4,0)&amp;"")</f>
        <v/>
      </c>
      <c r="S14" s="155" t="str">
        <f t="shared" ca="1" si="5"/>
        <v/>
      </c>
      <c r="T14" s="155" t="str">
        <f ca="1">IF(B14="","",IF(ISERROR(MATCH($J14,SorP!$B$1:$B$6226,0)),"",INDIRECT("'SorP'!$A$"&amp;MATCH($S14&amp;$J14,SorP!C:C,0))))</f>
        <v/>
      </c>
      <c r="U14" s="168"/>
      <c r="V14" s="169" t="e">
        <f>IF(C14="",NA(),MATCH($B14&amp;$C14,'Smelter Look-up'!$J:$J,0))</f>
        <v>#N/A</v>
      </c>
      <c r="X14" s="170">
        <f t="shared" ca="1" si="6"/>
        <v>0</v>
      </c>
      <c r="AB14" s="313" t="str">
        <f t="shared" si="7"/>
        <v/>
      </c>
      <c r="AC14" s="170" t="str">
        <f t="shared" si="3"/>
        <v/>
      </c>
      <c r="AD14" s="170" t="str">
        <f t="shared" si="4"/>
        <v/>
      </c>
    </row>
    <row r="15" spans="1:34" s="170" customFormat="1" ht="20.399999999999999">
      <c r="A15" s="198"/>
      <c r="B15" s="303"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5" t="str">
        <f ca="1">IF(ISERROR($V15),"",OFFSET('Smelter Look-up'!$G$4,$V15-4,0))</f>
        <v/>
      </c>
      <c r="I15" s="206" t="str">
        <f ca="1">IF(ISERROR($V15),"",OFFSET('Smelter Look-up'!$H$4,$V15-4,0))</f>
        <v/>
      </c>
      <c r="J15" s="206" t="str">
        <f ca="1">IF(ISERROR($V15),"",OFFSET('Smelter Look-up'!$I$4,$V15-4,0))</f>
        <v/>
      </c>
      <c r="K15" s="150"/>
      <c r="L15" s="150"/>
      <c r="M15" s="150"/>
      <c r="N15" s="150"/>
      <c r="O15" s="150"/>
      <c r="P15" s="208"/>
      <c r="Q15" s="151"/>
      <c r="R15" s="149" t="str">
        <f ca="1">IF(ISERROR($V15),"",OFFSET('Smelter Look-up'!$C$4,$V15-4,0)&amp;"")</f>
        <v/>
      </c>
      <c r="S15" s="155" t="str">
        <f t="shared" ca="1" si="5"/>
        <v/>
      </c>
      <c r="T15" s="155" t="str">
        <f ca="1">IF(B15="","",IF(ISERROR(MATCH($J15,SorP!$B$1:$B$6226,0)),"",INDIRECT("'SorP'!$A$"&amp;MATCH($S15&amp;$J15,SorP!C:C,0))))</f>
        <v/>
      </c>
      <c r="U15" s="168"/>
      <c r="V15" s="169" t="e">
        <f>IF(C15="",NA(),MATCH($B15&amp;$C15,'Smelter Look-up'!$J:$J,0))</f>
        <v>#N/A</v>
      </c>
      <c r="X15" s="170">
        <f t="shared" ca="1" si="6"/>
        <v>0</v>
      </c>
      <c r="AB15" s="313" t="str">
        <f t="shared" si="7"/>
        <v/>
      </c>
      <c r="AC15" s="170" t="str">
        <f t="shared" si="3"/>
        <v/>
      </c>
      <c r="AD15" s="170" t="str">
        <f t="shared" si="4"/>
        <v/>
      </c>
    </row>
    <row r="16" spans="1:34" s="170" customFormat="1" ht="20.399999999999999">
      <c r="A16" s="197"/>
      <c r="B16" s="303"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5" t="str">
        <f ca="1">IF(ISERROR($V16),"",OFFSET('Smelter Look-up'!$G$4,$V16-4,0))</f>
        <v/>
      </c>
      <c r="I16" s="206" t="str">
        <f ca="1">IF(ISERROR($V16),"",OFFSET('Smelter Look-up'!$H$4,$V16-4,0))</f>
        <v/>
      </c>
      <c r="J16" s="206" t="str">
        <f ca="1">IF(ISERROR($V16),"",OFFSET('Smelter Look-up'!$I$4,$V16-4,0))</f>
        <v/>
      </c>
      <c r="K16" s="150"/>
      <c r="L16" s="150"/>
      <c r="M16" s="150"/>
      <c r="N16" s="150"/>
      <c r="O16" s="150"/>
      <c r="P16" s="208"/>
      <c r="Q16" s="151"/>
      <c r="R16" s="149" t="str">
        <f ca="1">IF(ISERROR($V16),"",OFFSET('Smelter Look-up'!$C$4,$V16-4,0)&amp;"")</f>
        <v/>
      </c>
      <c r="S16" s="155" t="str">
        <f t="shared" ca="1" si="5"/>
        <v/>
      </c>
      <c r="T16" s="155" t="str">
        <f ca="1">IF(B16="","",IF(ISERROR(MATCH($J16,SorP!$B$1:$B$6226,0)),"",INDIRECT("'SorP'!$A$"&amp;MATCH($S16&amp;$J16,SorP!C:C,0))))</f>
        <v/>
      </c>
      <c r="U16" s="168"/>
      <c r="V16" s="169" t="e">
        <f>IF(C16="",NA(),MATCH($B16&amp;$C16,'Smelter Look-up'!$J:$J,0))</f>
        <v>#N/A</v>
      </c>
      <c r="X16" s="170">
        <f t="shared" ca="1" si="6"/>
        <v>0</v>
      </c>
      <c r="AB16" s="313" t="str">
        <f t="shared" si="7"/>
        <v/>
      </c>
      <c r="AC16" s="170" t="str">
        <f t="shared" si="3"/>
        <v/>
      </c>
      <c r="AD16" s="170" t="str">
        <f t="shared" si="4"/>
        <v/>
      </c>
    </row>
    <row r="17" spans="1:30" s="170" customFormat="1" ht="20.399999999999999">
      <c r="A17" s="197"/>
      <c r="B17" s="303"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5" t="str">
        <f ca="1">IF(ISERROR($V17),"",OFFSET('Smelter Look-up'!$G$4,$V17-4,0))</f>
        <v/>
      </c>
      <c r="I17" s="206" t="str">
        <f ca="1">IF(ISERROR($V17),"",OFFSET('Smelter Look-up'!$H$4,$V17-4,0))</f>
        <v/>
      </c>
      <c r="J17" s="206" t="str">
        <f ca="1">IF(ISERROR($V17),"",OFFSET('Smelter Look-up'!$I$4,$V17-4,0))</f>
        <v/>
      </c>
      <c r="K17" s="150"/>
      <c r="L17" s="150"/>
      <c r="M17" s="150"/>
      <c r="N17" s="150"/>
      <c r="O17" s="150"/>
      <c r="P17" s="208"/>
      <c r="Q17" s="151"/>
      <c r="R17" s="149" t="str">
        <f ca="1">IF(ISERROR($V17),"",OFFSET('Smelter Look-up'!$C$4,$V17-4,0)&amp;"")</f>
        <v/>
      </c>
      <c r="S17" s="155" t="str">
        <f t="shared" ca="1" si="5"/>
        <v/>
      </c>
      <c r="T17" s="155" t="str">
        <f ca="1">IF(B17="","",IF(ISERROR(MATCH($J17,SorP!$B$1:$B$6226,0)),"",INDIRECT("'SorP'!$A$"&amp;MATCH($S17&amp;$J17,SorP!C:C,0))))</f>
        <v/>
      </c>
      <c r="U17" s="168"/>
      <c r="V17" s="169" t="e">
        <f>IF(C17="",NA(),MATCH($B17&amp;$C17,'Smelter Look-up'!$J:$J,0))</f>
        <v>#N/A</v>
      </c>
      <c r="X17" s="170">
        <f t="shared" ca="1" si="6"/>
        <v>0</v>
      </c>
      <c r="AB17" s="313" t="str">
        <f t="shared" si="7"/>
        <v/>
      </c>
      <c r="AC17" s="170" t="str">
        <f t="shared" si="3"/>
        <v/>
      </c>
      <c r="AD17" s="170" t="str">
        <f t="shared" si="4"/>
        <v/>
      </c>
    </row>
    <row r="18" spans="1:30" s="170" customFormat="1" ht="20.399999999999999">
      <c r="A18" s="197"/>
      <c r="B18" s="303"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5" t="str">
        <f ca="1">IF(ISERROR($V18),"",OFFSET('Smelter Look-up'!$G$4,$V18-4,0))</f>
        <v/>
      </c>
      <c r="I18" s="206" t="str">
        <f ca="1">IF(ISERROR($V18),"",OFFSET('Smelter Look-up'!$H$4,$V18-4,0))</f>
        <v/>
      </c>
      <c r="J18" s="206" t="str">
        <f ca="1">IF(ISERROR($V18),"",OFFSET('Smelter Look-up'!$I$4,$V18-4,0))</f>
        <v/>
      </c>
      <c r="K18" s="150"/>
      <c r="L18" s="150"/>
      <c r="M18" s="150"/>
      <c r="N18" s="150"/>
      <c r="O18" s="150"/>
      <c r="P18" s="208"/>
      <c r="Q18" s="151"/>
      <c r="R18" s="149" t="str">
        <f ca="1">IF(ISERROR($V18),"",OFFSET('Smelter Look-up'!$C$4,$V18-4,0)&amp;"")</f>
        <v/>
      </c>
      <c r="S18" s="155" t="str">
        <f t="shared" ca="1" si="5"/>
        <v/>
      </c>
      <c r="T18" s="155" t="str">
        <f ca="1">IF(B18="","",IF(ISERROR(MATCH($J18,SorP!$B$1:$B$6226,0)),"",INDIRECT("'SorP'!$A$"&amp;MATCH($S18&amp;$J18,SorP!C:C,0))))</f>
        <v/>
      </c>
      <c r="U18" s="168"/>
      <c r="V18" s="169" t="e">
        <f>IF(C18="",NA(),MATCH($B18&amp;$C18,'Smelter Look-up'!$J:$J,0))</f>
        <v>#N/A</v>
      </c>
      <c r="X18" s="170">
        <f t="shared" ca="1" si="6"/>
        <v>0</v>
      </c>
      <c r="AB18" s="313" t="str">
        <f t="shared" si="7"/>
        <v/>
      </c>
      <c r="AC18" s="170" t="str">
        <f t="shared" si="3"/>
        <v/>
      </c>
      <c r="AD18" s="170" t="str">
        <f t="shared" si="4"/>
        <v/>
      </c>
    </row>
    <row r="19" spans="1:30" s="170" customFormat="1" ht="20.399999999999999">
      <c r="A19" s="197"/>
      <c r="B19" s="303"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5" t="str">
        <f ca="1">IF(ISERROR($V19),"",OFFSET('Smelter Look-up'!$G$4,$V19-4,0))</f>
        <v/>
      </c>
      <c r="I19" s="206" t="str">
        <f ca="1">IF(ISERROR($V19),"",OFFSET('Smelter Look-up'!$H$4,$V19-4,0))</f>
        <v/>
      </c>
      <c r="J19" s="206" t="str">
        <f ca="1">IF(ISERROR($V19),"",OFFSET('Smelter Look-up'!$I$4,$V19-4,0))</f>
        <v/>
      </c>
      <c r="K19" s="150"/>
      <c r="L19" s="150"/>
      <c r="M19" s="150"/>
      <c r="N19" s="150"/>
      <c r="O19" s="150"/>
      <c r="P19" s="208"/>
      <c r="Q19" s="151"/>
      <c r="R19" s="149" t="str">
        <f ca="1">IF(ISERROR($V19),"",OFFSET('Smelter Look-up'!$C$4,$V19-4,0)&amp;"")</f>
        <v/>
      </c>
      <c r="S19" s="155" t="str">
        <f t="shared" ca="1" si="5"/>
        <v/>
      </c>
      <c r="T19" s="155" t="str">
        <f ca="1">IF(B19="","",IF(ISERROR(MATCH($J19,SorP!$B$1:$B$6226,0)),"",INDIRECT("'SorP'!$A$"&amp;MATCH($S19&amp;$J19,SorP!C:C,0))))</f>
        <v/>
      </c>
      <c r="U19" s="168"/>
      <c r="V19" s="169" t="e">
        <f>IF(C19="",NA(),MATCH($B19&amp;$C19,'Smelter Look-up'!$J:$J,0))</f>
        <v>#N/A</v>
      </c>
      <c r="X19" s="170">
        <f t="shared" ca="1" si="6"/>
        <v>0</v>
      </c>
      <c r="AB19" s="313" t="str">
        <f t="shared" si="7"/>
        <v/>
      </c>
      <c r="AC19" s="170" t="str">
        <f t="shared" si="3"/>
        <v/>
      </c>
      <c r="AD19" s="170" t="str">
        <f t="shared" si="4"/>
        <v/>
      </c>
    </row>
    <row r="20" spans="1:30" s="170" customFormat="1" ht="20.399999999999999">
      <c r="A20" s="198"/>
      <c r="B20" s="303"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5" t="str">
        <f ca="1">IF(ISERROR($V20),"",OFFSET('Smelter Look-up'!$G$4,$V20-4,0))</f>
        <v/>
      </c>
      <c r="I20" s="206" t="str">
        <f ca="1">IF(ISERROR($V20),"",OFFSET('Smelter Look-up'!$H$4,$V20-4,0))</f>
        <v/>
      </c>
      <c r="J20" s="206" t="str">
        <f ca="1">IF(ISERROR($V20),"",OFFSET('Smelter Look-up'!$I$4,$V20-4,0))</f>
        <v/>
      </c>
      <c r="K20" s="150"/>
      <c r="L20" s="150"/>
      <c r="M20" s="150"/>
      <c r="N20" s="150"/>
      <c r="O20" s="150"/>
      <c r="P20" s="208"/>
      <c r="Q20" s="151"/>
      <c r="R20" s="149" t="str">
        <f ca="1">IF(ISERROR($V20),"",OFFSET('Smelter Look-up'!$C$4,$V20-4,0)&amp;"")</f>
        <v/>
      </c>
      <c r="S20" s="155" t="str">
        <f t="shared" ca="1" si="5"/>
        <v/>
      </c>
      <c r="T20" s="155" t="str">
        <f ca="1">IF(B20="","",IF(ISERROR(MATCH($J20,SorP!$B$1:$B$6226,0)),"",INDIRECT("'SorP'!$A$"&amp;MATCH($S20&amp;$J20,SorP!C:C,0))))</f>
        <v/>
      </c>
      <c r="U20" s="168"/>
      <c r="V20" s="169" t="e">
        <f>IF(C20="",NA(),MATCH($B20&amp;$C20,'Smelter Look-up'!$J:$J,0))</f>
        <v>#N/A</v>
      </c>
      <c r="X20" s="170">
        <f t="shared" ca="1" si="6"/>
        <v>0</v>
      </c>
      <c r="AB20" s="313" t="str">
        <f t="shared" si="7"/>
        <v/>
      </c>
      <c r="AC20" s="170" t="str">
        <f t="shared" si="3"/>
        <v/>
      </c>
      <c r="AD20" s="170" t="str">
        <f t="shared" si="4"/>
        <v/>
      </c>
    </row>
    <row r="21" spans="1:30" s="170" customFormat="1" ht="20.399999999999999">
      <c r="A21" s="197"/>
      <c r="B21" s="303"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5" t="str">
        <f ca="1">IF(ISERROR($V21),"",OFFSET('Smelter Look-up'!$G$4,$V21-4,0))</f>
        <v/>
      </c>
      <c r="I21" s="206" t="str">
        <f ca="1">IF(ISERROR($V21),"",OFFSET('Smelter Look-up'!$H$4,$V21-4,0))</f>
        <v/>
      </c>
      <c r="J21" s="206" t="str">
        <f ca="1">IF(ISERROR($V21),"",OFFSET('Smelter Look-up'!$I$4,$V21-4,0))</f>
        <v/>
      </c>
      <c r="K21" s="150"/>
      <c r="L21" s="150"/>
      <c r="M21" s="150"/>
      <c r="N21" s="150"/>
      <c r="O21" s="150"/>
      <c r="P21" s="208"/>
      <c r="Q21" s="151"/>
      <c r="R21" s="149" t="str">
        <f ca="1">IF(ISERROR($V21),"",OFFSET('Smelter Look-up'!$C$4,$V21-4,0)&amp;"")</f>
        <v/>
      </c>
      <c r="S21" s="155" t="str">
        <f t="shared" ca="1" si="5"/>
        <v/>
      </c>
      <c r="T21" s="155" t="str">
        <f ca="1">IF(B21="","",IF(ISERROR(MATCH($J21,SorP!$B$1:$B$6226,0)),"",INDIRECT("'SorP'!$A$"&amp;MATCH($S21&amp;$J21,SorP!C:C,0))))</f>
        <v/>
      </c>
      <c r="U21" s="168"/>
      <c r="V21" s="169" t="e">
        <f>IF(C21="",NA(),MATCH($B21&amp;$C21,'Smelter Look-up'!$J:$J,0))</f>
        <v>#N/A</v>
      </c>
      <c r="X21" s="170">
        <f t="shared" ca="1" si="6"/>
        <v>0</v>
      </c>
      <c r="AB21" s="313" t="str">
        <f t="shared" si="7"/>
        <v/>
      </c>
      <c r="AC21" s="170" t="str">
        <f t="shared" si="3"/>
        <v/>
      </c>
      <c r="AD21" s="170" t="str">
        <f t="shared" si="4"/>
        <v/>
      </c>
    </row>
    <row r="22" spans="1:30" s="170" customFormat="1" ht="20.399999999999999">
      <c r="A22" s="197"/>
      <c r="B22" s="303"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5" t="str">
        <f ca="1">IF(ISERROR($V22),"",OFFSET('Smelter Look-up'!$G$4,$V22-4,0))</f>
        <v/>
      </c>
      <c r="I22" s="206" t="str">
        <f ca="1">IF(ISERROR($V22),"",OFFSET('Smelter Look-up'!$H$4,$V22-4,0))</f>
        <v/>
      </c>
      <c r="J22" s="206" t="str">
        <f ca="1">IF(ISERROR($V22),"",OFFSET('Smelter Look-up'!$I$4,$V22-4,0))</f>
        <v/>
      </c>
      <c r="K22" s="150"/>
      <c r="L22" s="150"/>
      <c r="M22" s="150"/>
      <c r="N22" s="150"/>
      <c r="O22" s="150"/>
      <c r="P22" s="208"/>
      <c r="Q22" s="151"/>
      <c r="R22" s="149" t="str">
        <f ca="1">IF(ISERROR($V22),"",OFFSET('Smelter Look-up'!$C$4,$V22-4,0)&amp;"")</f>
        <v/>
      </c>
      <c r="S22" s="155" t="str">
        <f t="shared" ca="1" si="5"/>
        <v/>
      </c>
      <c r="T22" s="155" t="str">
        <f ca="1">IF(B22="","",IF(ISERROR(MATCH($J22,SorP!$B$1:$B$6226,0)),"",INDIRECT("'SorP'!$A$"&amp;MATCH($S22&amp;$J22,SorP!C:C,0))))</f>
        <v/>
      </c>
      <c r="U22" s="168"/>
      <c r="V22" s="169" t="e">
        <f>IF(C22="",NA(),MATCH($B22&amp;$C22,'Smelter Look-up'!$J:$J,0))</f>
        <v>#N/A</v>
      </c>
      <c r="X22" s="170">
        <f t="shared" ca="1" si="6"/>
        <v>0</v>
      </c>
      <c r="AB22" s="313" t="str">
        <f t="shared" si="7"/>
        <v/>
      </c>
      <c r="AC22" s="170" t="str">
        <f t="shared" si="3"/>
        <v/>
      </c>
      <c r="AD22" s="170" t="str">
        <f t="shared" si="4"/>
        <v/>
      </c>
    </row>
    <row r="23" spans="1:30" s="170" customFormat="1" ht="20.399999999999999">
      <c r="A23" s="197"/>
      <c r="B23" s="303"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5" t="str">
        <f ca="1">IF(ISERROR($V23),"",OFFSET('Smelter Look-up'!$G$4,$V23-4,0))</f>
        <v/>
      </c>
      <c r="I23" s="206" t="str">
        <f ca="1">IF(ISERROR($V23),"",OFFSET('Smelter Look-up'!$H$4,$V23-4,0))</f>
        <v/>
      </c>
      <c r="J23" s="206" t="str">
        <f ca="1">IF(ISERROR($V23),"",OFFSET('Smelter Look-up'!$I$4,$V23-4,0))</f>
        <v/>
      </c>
      <c r="K23" s="150"/>
      <c r="L23" s="150"/>
      <c r="M23" s="150"/>
      <c r="N23" s="150"/>
      <c r="O23" s="150"/>
      <c r="P23" s="208"/>
      <c r="Q23" s="151"/>
      <c r="R23" s="149" t="str">
        <f ca="1">IF(ISERROR($V23),"",OFFSET('Smelter Look-up'!$C$4,$V23-4,0)&amp;"")</f>
        <v/>
      </c>
      <c r="S23" s="155" t="str">
        <f t="shared" ca="1" si="5"/>
        <v/>
      </c>
      <c r="T23" s="155" t="str">
        <f ca="1">IF(B23="","",IF(ISERROR(MATCH($J23,SorP!$B$1:$B$6226,0)),"",INDIRECT("'SorP'!$A$"&amp;MATCH($S23&amp;$J23,SorP!C:C,0))))</f>
        <v/>
      </c>
      <c r="U23" s="168"/>
      <c r="V23" s="169" t="e">
        <f>IF(C23="",NA(),MATCH($B23&amp;$C23,'Smelter Look-up'!$J:$J,0))</f>
        <v>#N/A</v>
      </c>
      <c r="X23" s="170">
        <f t="shared" ca="1" si="6"/>
        <v>0</v>
      </c>
      <c r="AB23" s="313" t="str">
        <f t="shared" si="7"/>
        <v/>
      </c>
      <c r="AC23" s="170" t="str">
        <f t="shared" si="3"/>
        <v/>
      </c>
      <c r="AD23" s="170" t="str">
        <f t="shared" si="4"/>
        <v/>
      </c>
    </row>
    <row r="24" spans="1:30" s="170" customFormat="1" ht="20.399999999999999">
      <c r="A24" s="155"/>
      <c r="B24" s="303"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5" t="str">
        <f ca="1">IF(ISERROR($V24),"",OFFSET('Smelter Look-up'!$G$4,$V24-4,0))</f>
        <v/>
      </c>
      <c r="I24" s="206" t="str">
        <f ca="1">IF(ISERROR($V24),"",OFFSET('Smelter Look-up'!$H$4,$V24-4,0))</f>
        <v/>
      </c>
      <c r="J24" s="206" t="str">
        <f ca="1">IF(ISERROR($V24),"",OFFSET('Smelter Look-up'!$I$4,$V24-4,0))</f>
        <v/>
      </c>
      <c r="K24" s="150"/>
      <c r="L24" s="150"/>
      <c r="M24" s="150"/>
      <c r="N24" s="150"/>
      <c r="O24" s="150"/>
      <c r="P24" s="208"/>
      <c r="Q24" s="151"/>
      <c r="R24" s="149" t="str">
        <f ca="1">IF(ISERROR($V24),"",OFFSET('Smelter Look-up'!$C$4,$V24-4,0)&amp;"")</f>
        <v/>
      </c>
      <c r="S24" s="155" t="str">
        <f t="shared" ca="1" si="5"/>
        <v/>
      </c>
      <c r="T24" s="155" t="str">
        <f ca="1">IF(B24="","",IF(ISERROR(MATCH($J24,SorP!$B$1:$B$6226,0)),"",INDIRECT("'SorP'!$A$"&amp;MATCH($S24&amp;$J24,SorP!C:C,0))))</f>
        <v/>
      </c>
      <c r="U24" s="168"/>
      <c r="V24" s="169" t="e">
        <f>IF(C24="",NA(),MATCH($B24&amp;$C24,'Smelter Look-up'!$J:$J,0))</f>
        <v>#N/A</v>
      </c>
      <c r="X24" s="170">
        <f t="shared" ca="1" si="6"/>
        <v>0</v>
      </c>
      <c r="AB24" s="313" t="str">
        <f t="shared" si="7"/>
        <v/>
      </c>
      <c r="AC24" s="170" t="str">
        <f t="shared" si="3"/>
        <v/>
      </c>
      <c r="AD24" s="170" t="str">
        <f t="shared" si="4"/>
        <v/>
      </c>
    </row>
    <row r="25" spans="1:30" s="170" customFormat="1" ht="20.399999999999999">
      <c r="A25" s="155"/>
      <c r="B25" s="303"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5" t="str">
        <f ca="1">IF(ISERROR($V25),"",OFFSET('Smelter Look-up'!$G$4,$V25-4,0))</f>
        <v/>
      </c>
      <c r="I25" s="206" t="str">
        <f ca="1">IF(ISERROR($V25),"",OFFSET('Smelter Look-up'!$H$4,$V25-4,0))</f>
        <v/>
      </c>
      <c r="J25" s="206" t="str">
        <f ca="1">IF(ISERROR($V25),"",OFFSET('Smelter Look-up'!$I$4,$V25-4,0))</f>
        <v/>
      </c>
      <c r="K25" s="150"/>
      <c r="L25" s="150"/>
      <c r="M25" s="150"/>
      <c r="N25" s="150"/>
      <c r="O25" s="150"/>
      <c r="P25" s="208"/>
      <c r="Q25" s="151"/>
      <c r="R25" s="149" t="str">
        <f ca="1">IF(ISERROR($V25),"",OFFSET('Smelter Look-up'!$C$4,$V25-4,0)&amp;"")</f>
        <v/>
      </c>
      <c r="S25" s="155" t="str">
        <f t="shared" ca="1" si="5"/>
        <v/>
      </c>
      <c r="T25" s="155" t="str">
        <f ca="1">IF(B25="","",IF(ISERROR(MATCH($J25,SorP!$B$1:$B$6226,0)),"",INDIRECT("'SorP'!$A$"&amp;MATCH($S25&amp;$J25,SorP!C:C,0))))</f>
        <v/>
      </c>
      <c r="U25" s="168"/>
      <c r="V25" s="169" t="e">
        <f>IF(C25="",NA(),MATCH($B25&amp;$C25,'Smelter Look-up'!$J:$J,0))</f>
        <v>#N/A</v>
      </c>
      <c r="X25" s="170">
        <f t="shared" ca="1" si="6"/>
        <v>0</v>
      </c>
      <c r="AB25" s="313" t="str">
        <f t="shared" si="7"/>
        <v/>
      </c>
      <c r="AC25" s="170" t="str">
        <f t="shared" si="3"/>
        <v/>
      </c>
      <c r="AD25" s="170" t="str">
        <f t="shared" si="4"/>
        <v/>
      </c>
    </row>
    <row r="26" spans="1:30" s="170" customFormat="1" ht="20.399999999999999">
      <c r="A26" s="155"/>
      <c r="B26" s="303"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5" t="str">
        <f ca="1">IF(ISERROR($V26),"",OFFSET('Smelter Look-up'!$G$4,$V26-4,0))</f>
        <v/>
      </c>
      <c r="I26" s="206" t="str">
        <f ca="1">IF(ISERROR($V26),"",OFFSET('Smelter Look-up'!$H$4,$V26-4,0))</f>
        <v/>
      </c>
      <c r="J26" s="206" t="str">
        <f ca="1">IF(ISERROR($V26),"",OFFSET('Smelter Look-up'!$I$4,$V26-4,0))</f>
        <v/>
      </c>
      <c r="K26" s="150"/>
      <c r="L26" s="150"/>
      <c r="M26" s="150"/>
      <c r="N26" s="150"/>
      <c r="O26" s="150"/>
      <c r="P26" s="208"/>
      <c r="Q26" s="151"/>
      <c r="R26" s="149" t="str">
        <f ca="1">IF(ISERROR($V26),"",OFFSET('Smelter Look-up'!$C$4,$V26-4,0)&amp;"")</f>
        <v/>
      </c>
      <c r="S26" s="155" t="str">
        <f t="shared" ca="1" si="5"/>
        <v/>
      </c>
      <c r="T26" s="155" t="str">
        <f ca="1">IF(B26="","",IF(ISERROR(MATCH($J26,SorP!$B$1:$B$6226,0)),"",INDIRECT("'SorP'!$A$"&amp;MATCH($S26&amp;$J26,SorP!C:C,0))))</f>
        <v/>
      </c>
      <c r="U26" s="168"/>
      <c r="V26" s="169" t="e">
        <f>IF(C26="",NA(),MATCH($B26&amp;$C26,'Smelter Look-up'!$J:$J,0))</f>
        <v>#N/A</v>
      </c>
      <c r="X26" s="170">
        <f t="shared" ca="1" si="6"/>
        <v>0</v>
      </c>
      <c r="AB26" s="313" t="str">
        <f t="shared" si="7"/>
        <v/>
      </c>
      <c r="AC26" s="170" t="str">
        <f t="shared" si="3"/>
        <v/>
      </c>
      <c r="AD26" s="170" t="str">
        <f t="shared" si="4"/>
        <v/>
      </c>
    </row>
    <row r="27" spans="1:30" s="170" customFormat="1" ht="20.399999999999999">
      <c r="A27" s="155"/>
      <c r="B27" s="303"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5" t="str">
        <f ca="1">IF(ISERROR($V27),"",OFFSET('Smelter Look-up'!$G$4,$V27-4,0))</f>
        <v/>
      </c>
      <c r="I27" s="206" t="str">
        <f ca="1">IF(ISERROR($V27),"",OFFSET('Smelter Look-up'!$H$4,$V27-4,0))</f>
        <v/>
      </c>
      <c r="J27" s="206" t="str">
        <f ca="1">IF(ISERROR($V27),"",OFFSET('Smelter Look-up'!$I$4,$V27-4,0))</f>
        <v/>
      </c>
      <c r="K27" s="150"/>
      <c r="L27" s="150"/>
      <c r="M27" s="150"/>
      <c r="N27" s="150"/>
      <c r="O27" s="150"/>
      <c r="P27" s="208"/>
      <c r="Q27" s="151"/>
      <c r="R27" s="149" t="str">
        <f ca="1">IF(ISERROR($V27),"",OFFSET('Smelter Look-up'!$C$4,$V27-4,0)&amp;"")</f>
        <v/>
      </c>
      <c r="S27" s="155" t="str">
        <f t="shared" ca="1" si="5"/>
        <v/>
      </c>
      <c r="T27" s="155" t="str">
        <f ca="1">IF(B27="","",IF(ISERROR(MATCH($J27,SorP!$B$1:$B$6226,0)),"",INDIRECT("'SorP'!$A$"&amp;MATCH($S27&amp;$J27,SorP!C:C,0))))</f>
        <v/>
      </c>
      <c r="U27" s="168"/>
      <c r="V27" s="169" t="e">
        <f>IF(C27="",NA(),MATCH($B27&amp;$C27,'Smelter Look-up'!$J:$J,0))</f>
        <v>#N/A</v>
      </c>
      <c r="X27" s="170">
        <f t="shared" ca="1" si="6"/>
        <v>0</v>
      </c>
      <c r="AB27" s="313" t="str">
        <f t="shared" si="7"/>
        <v/>
      </c>
      <c r="AC27" s="170" t="str">
        <f t="shared" si="3"/>
        <v/>
      </c>
      <c r="AD27" s="170" t="str">
        <f t="shared" si="4"/>
        <v/>
      </c>
    </row>
    <row r="28" spans="1:30" s="170" customFormat="1" ht="20.399999999999999">
      <c r="A28" s="155"/>
      <c r="B28" s="303"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5" t="str">
        <f ca="1">IF(ISERROR($V28),"",OFFSET('Smelter Look-up'!$G$4,$V28-4,0))</f>
        <v/>
      </c>
      <c r="I28" s="206" t="str">
        <f ca="1">IF(ISERROR($V28),"",OFFSET('Smelter Look-up'!$H$4,$V28-4,0))</f>
        <v/>
      </c>
      <c r="J28" s="206" t="str">
        <f ca="1">IF(ISERROR($V28),"",OFFSET('Smelter Look-up'!$I$4,$V28-4,0))</f>
        <v/>
      </c>
      <c r="K28" s="150"/>
      <c r="L28" s="150"/>
      <c r="M28" s="150"/>
      <c r="N28" s="150"/>
      <c r="O28" s="150"/>
      <c r="P28" s="208"/>
      <c r="Q28" s="151"/>
      <c r="R28" s="149" t="str">
        <f ca="1">IF(ISERROR($V28),"",OFFSET('Smelter Look-up'!$C$4,$V28-4,0)&amp;"")</f>
        <v/>
      </c>
      <c r="S28" s="155" t="str">
        <f t="shared" ca="1" si="5"/>
        <v/>
      </c>
      <c r="T28" s="155" t="str">
        <f ca="1">IF(B28="","",IF(ISERROR(MATCH($J28,SorP!$B$1:$B$6226,0)),"",INDIRECT("'SorP'!$A$"&amp;MATCH($S28&amp;$J28,SorP!C:C,0))))</f>
        <v/>
      </c>
      <c r="U28" s="168"/>
      <c r="V28" s="169" t="e">
        <f>IF(C28="",NA(),MATCH($B28&amp;$C28,'Smelter Look-up'!$J:$J,0))</f>
        <v>#N/A</v>
      </c>
      <c r="X28" s="170">
        <f t="shared" ca="1" si="6"/>
        <v>0</v>
      </c>
      <c r="AB28" s="313" t="str">
        <f t="shared" si="7"/>
        <v/>
      </c>
      <c r="AC28" s="170" t="str">
        <f t="shared" si="3"/>
        <v/>
      </c>
      <c r="AD28" s="170" t="str">
        <f t="shared" si="4"/>
        <v/>
      </c>
    </row>
    <row r="29" spans="1:30" s="170" customFormat="1" ht="20.399999999999999">
      <c r="A29" s="155"/>
      <c r="B29" s="303"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5" t="str">
        <f ca="1">IF(ISERROR($V29),"",OFFSET('Smelter Look-up'!$G$4,$V29-4,0))</f>
        <v/>
      </c>
      <c r="I29" s="206" t="str">
        <f ca="1">IF(ISERROR($V29),"",OFFSET('Smelter Look-up'!$H$4,$V29-4,0))</f>
        <v/>
      </c>
      <c r="J29" s="206" t="str">
        <f ca="1">IF(ISERROR($V29),"",OFFSET('Smelter Look-up'!$I$4,$V29-4,0))</f>
        <v/>
      </c>
      <c r="K29" s="150"/>
      <c r="L29" s="150"/>
      <c r="M29" s="150"/>
      <c r="N29" s="150"/>
      <c r="O29" s="150"/>
      <c r="P29" s="208"/>
      <c r="Q29" s="151"/>
      <c r="R29" s="149" t="str">
        <f ca="1">IF(ISERROR($V29),"",OFFSET('Smelter Look-up'!$C$4,$V29-4,0)&amp;"")</f>
        <v/>
      </c>
      <c r="S29" s="155" t="str">
        <f t="shared" ca="1" si="5"/>
        <v/>
      </c>
      <c r="T29" s="155" t="str">
        <f ca="1">IF(B29="","",IF(ISERROR(MATCH($J29,SorP!$B$1:$B$6226,0)),"",INDIRECT("'SorP'!$A$"&amp;MATCH($S29&amp;$J29,SorP!C:C,0))))</f>
        <v/>
      </c>
      <c r="U29" s="168"/>
      <c r="V29" s="169" t="e">
        <f>IF(C29="",NA(),MATCH($B29&amp;$C29,'Smelter Look-up'!$J:$J,0))</f>
        <v>#N/A</v>
      </c>
      <c r="X29" s="170">
        <f t="shared" ca="1" si="6"/>
        <v>0</v>
      </c>
      <c r="AB29" s="313" t="str">
        <f t="shared" si="7"/>
        <v/>
      </c>
      <c r="AC29" s="170" t="str">
        <f t="shared" si="3"/>
        <v/>
      </c>
      <c r="AD29" s="170" t="str">
        <f t="shared" si="4"/>
        <v/>
      </c>
    </row>
    <row r="30" spans="1:30" s="170" customFormat="1" ht="20.399999999999999">
      <c r="A30" s="155"/>
      <c r="B30" s="303"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5" t="str">
        <f ca="1">IF(ISERROR($V30),"",OFFSET('Smelter Look-up'!$G$4,$V30-4,0))</f>
        <v/>
      </c>
      <c r="I30" s="206" t="str">
        <f ca="1">IF(ISERROR($V30),"",OFFSET('Smelter Look-up'!$H$4,$V30-4,0))</f>
        <v/>
      </c>
      <c r="J30" s="206" t="str">
        <f ca="1">IF(ISERROR($V30),"",OFFSET('Smelter Look-up'!$I$4,$V30-4,0))</f>
        <v/>
      </c>
      <c r="K30" s="150"/>
      <c r="L30" s="150"/>
      <c r="M30" s="150"/>
      <c r="N30" s="150"/>
      <c r="O30" s="150"/>
      <c r="P30" s="208"/>
      <c r="Q30" s="151"/>
      <c r="R30" s="149" t="str">
        <f ca="1">IF(ISERROR($V30),"",OFFSET('Smelter Look-up'!$C$4,$V30-4,0)&amp;"")</f>
        <v/>
      </c>
      <c r="S30" s="155" t="str">
        <f t="shared" ca="1" si="5"/>
        <v/>
      </c>
      <c r="T30" s="155" t="str">
        <f ca="1">IF(B30="","",IF(ISERROR(MATCH($J30,SorP!$B$1:$B$6226,0)),"",INDIRECT("'SorP'!$A$"&amp;MATCH($S30&amp;$J30,SorP!C:C,0))))</f>
        <v/>
      </c>
      <c r="U30" s="168"/>
      <c r="V30" s="169" t="e">
        <f>IF(C30="",NA(),MATCH($B30&amp;$C30,'Smelter Look-up'!$J:$J,0))</f>
        <v>#N/A</v>
      </c>
      <c r="X30" s="170">
        <f t="shared" ca="1" si="6"/>
        <v>0</v>
      </c>
      <c r="AB30" s="313" t="str">
        <f t="shared" si="7"/>
        <v/>
      </c>
      <c r="AC30" s="170" t="str">
        <f t="shared" si="3"/>
        <v/>
      </c>
      <c r="AD30" s="170" t="str">
        <f t="shared" si="4"/>
        <v/>
      </c>
    </row>
    <row r="31" spans="1:30" s="170" customFormat="1" ht="20.399999999999999">
      <c r="A31" s="155"/>
      <c r="B31" s="303"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5" t="str">
        <f ca="1">IF(ISERROR($V31),"",OFFSET('Smelter Look-up'!$G$4,$V31-4,0))</f>
        <v/>
      </c>
      <c r="I31" s="206" t="str">
        <f ca="1">IF(ISERROR($V31),"",OFFSET('Smelter Look-up'!$H$4,$V31-4,0))</f>
        <v/>
      </c>
      <c r="J31" s="206" t="str">
        <f ca="1">IF(ISERROR($V31),"",OFFSET('Smelter Look-up'!$I$4,$V31-4,0))</f>
        <v/>
      </c>
      <c r="K31" s="150"/>
      <c r="L31" s="150"/>
      <c r="M31" s="150"/>
      <c r="N31" s="150"/>
      <c r="O31" s="150"/>
      <c r="P31" s="208"/>
      <c r="Q31" s="151"/>
      <c r="R31" s="149" t="str">
        <f ca="1">IF(ISERROR($V31),"",OFFSET('Smelter Look-up'!$C$4,$V31-4,0)&amp;"")</f>
        <v/>
      </c>
      <c r="S31" s="155" t="str">
        <f t="shared" ca="1" si="5"/>
        <v/>
      </c>
      <c r="T31" s="155" t="str">
        <f ca="1">IF(B31="","",IF(ISERROR(MATCH($J31,SorP!$B$1:$B$6226,0)),"",INDIRECT("'SorP'!$A$"&amp;MATCH($S31&amp;$J31,SorP!C:C,0))))</f>
        <v/>
      </c>
      <c r="U31" s="168"/>
      <c r="V31" s="169" t="e">
        <f>IF(C31="",NA(),MATCH($B31&amp;$C31,'Smelter Look-up'!$J:$J,0))</f>
        <v>#N/A</v>
      </c>
      <c r="X31" s="170">
        <f t="shared" ca="1" si="6"/>
        <v>0</v>
      </c>
      <c r="AB31" s="313" t="str">
        <f t="shared" si="7"/>
        <v/>
      </c>
      <c r="AC31" s="170" t="str">
        <f t="shared" si="3"/>
        <v/>
      </c>
      <c r="AD31" s="170" t="str">
        <f t="shared" si="4"/>
        <v/>
      </c>
    </row>
    <row r="32" spans="1:30" s="170" customFormat="1" ht="20.399999999999999">
      <c r="A32" s="155"/>
      <c r="B32" s="303"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5" t="str">
        <f ca="1">IF(ISERROR($V32),"",OFFSET('Smelter Look-up'!$G$4,$V32-4,0))</f>
        <v/>
      </c>
      <c r="I32" s="206" t="str">
        <f ca="1">IF(ISERROR($V32),"",OFFSET('Smelter Look-up'!$H$4,$V32-4,0))</f>
        <v/>
      </c>
      <c r="J32" s="206" t="str">
        <f ca="1">IF(ISERROR($V32),"",OFFSET('Smelter Look-up'!$I$4,$V32-4,0))</f>
        <v/>
      </c>
      <c r="K32" s="150"/>
      <c r="L32" s="150"/>
      <c r="M32" s="150"/>
      <c r="N32" s="150"/>
      <c r="O32" s="150"/>
      <c r="P32" s="208"/>
      <c r="Q32" s="151"/>
      <c r="R32" s="149" t="str">
        <f ca="1">IF(ISERROR($V32),"",OFFSET('Smelter Look-up'!$C$4,$V32-4,0)&amp;"")</f>
        <v/>
      </c>
      <c r="S32" s="155" t="str">
        <f t="shared" ca="1" si="5"/>
        <v/>
      </c>
      <c r="T32" s="155" t="str">
        <f ca="1">IF(B32="","",IF(ISERROR(MATCH($J32,SorP!$B$1:$B$6226,0)),"",INDIRECT("'SorP'!$A$"&amp;MATCH($S32&amp;$J32,SorP!C:C,0))))</f>
        <v/>
      </c>
      <c r="U32" s="168"/>
      <c r="V32" s="169" t="e">
        <f>IF(C32="",NA(),MATCH($B32&amp;$C32,'Smelter Look-up'!$J:$J,0))</f>
        <v>#N/A</v>
      </c>
      <c r="X32" s="170">
        <f t="shared" ca="1" si="6"/>
        <v>0</v>
      </c>
      <c r="AB32" s="313" t="str">
        <f t="shared" si="7"/>
        <v/>
      </c>
      <c r="AC32" s="170" t="str">
        <f t="shared" si="3"/>
        <v/>
      </c>
      <c r="AD32" s="170" t="str">
        <f t="shared" si="4"/>
        <v/>
      </c>
    </row>
    <row r="33" spans="1:30" s="170" customFormat="1" ht="20.399999999999999">
      <c r="A33" s="155"/>
      <c r="B33" s="303"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5" t="str">
        <f ca="1">IF(ISERROR($V33),"",OFFSET('Smelter Look-up'!$G$4,$V33-4,0))</f>
        <v/>
      </c>
      <c r="I33" s="206" t="str">
        <f ca="1">IF(ISERROR($V33),"",OFFSET('Smelter Look-up'!$H$4,$V33-4,0))</f>
        <v/>
      </c>
      <c r="J33" s="206" t="str">
        <f ca="1">IF(ISERROR($V33),"",OFFSET('Smelter Look-up'!$I$4,$V33-4,0))</f>
        <v/>
      </c>
      <c r="K33" s="150"/>
      <c r="L33" s="150"/>
      <c r="M33" s="150"/>
      <c r="N33" s="150"/>
      <c r="O33" s="150"/>
      <c r="P33" s="208"/>
      <c r="Q33" s="151"/>
      <c r="R33" s="149" t="str">
        <f ca="1">IF(ISERROR($V33),"",OFFSET('Smelter Look-up'!$C$4,$V33-4,0)&amp;"")</f>
        <v/>
      </c>
      <c r="S33" s="155" t="str">
        <f t="shared" ca="1" si="5"/>
        <v/>
      </c>
      <c r="T33" s="155" t="str">
        <f ca="1">IF(B33="","",IF(ISERROR(MATCH($J33,SorP!$B$1:$B$6226,0)),"",INDIRECT("'SorP'!$A$"&amp;MATCH($S33&amp;$J33,SorP!C:C,0))))</f>
        <v/>
      </c>
      <c r="U33" s="168"/>
      <c r="V33" s="169" t="e">
        <f>IF(C33="",NA(),MATCH($B33&amp;$C33,'Smelter Look-up'!$J:$J,0))</f>
        <v>#N/A</v>
      </c>
      <c r="X33" s="170">
        <f t="shared" ca="1" si="6"/>
        <v>0</v>
      </c>
      <c r="AB33" s="313" t="str">
        <f t="shared" si="7"/>
        <v/>
      </c>
      <c r="AC33" s="170" t="str">
        <f t="shared" si="3"/>
        <v/>
      </c>
      <c r="AD33" s="170" t="str">
        <f t="shared" si="4"/>
        <v/>
      </c>
    </row>
    <row r="34" spans="1:30" s="170" customFormat="1" ht="20.399999999999999">
      <c r="A34" s="155"/>
      <c r="B34" s="303"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5" t="str">
        <f ca="1">IF(ISERROR($V34),"",OFFSET('Smelter Look-up'!$G$4,$V34-4,0))</f>
        <v/>
      </c>
      <c r="I34" s="206" t="str">
        <f ca="1">IF(ISERROR($V34),"",OFFSET('Smelter Look-up'!$H$4,$V34-4,0))</f>
        <v/>
      </c>
      <c r="J34" s="206" t="str">
        <f ca="1">IF(ISERROR($V34),"",OFFSET('Smelter Look-up'!$I$4,$V34-4,0))</f>
        <v/>
      </c>
      <c r="K34" s="150"/>
      <c r="L34" s="150"/>
      <c r="M34" s="150"/>
      <c r="N34" s="150"/>
      <c r="O34" s="150"/>
      <c r="P34" s="208"/>
      <c r="Q34" s="151"/>
      <c r="R34" s="149" t="str">
        <f ca="1">IF(ISERROR($V34),"",OFFSET('Smelter Look-up'!$C$4,$V34-4,0)&amp;"")</f>
        <v/>
      </c>
      <c r="S34" s="155" t="str">
        <f t="shared" ca="1" si="5"/>
        <v/>
      </c>
      <c r="T34" s="155" t="str">
        <f ca="1">IF(B34="","",IF(ISERROR(MATCH($J34,SorP!$B$1:$B$6226,0)),"",INDIRECT("'SorP'!$A$"&amp;MATCH($S34&amp;$J34,SorP!C:C,0))))</f>
        <v/>
      </c>
      <c r="U34" s="168"/>
      <c r="V34" s="169" t="e">
        <f>IF(C34="",NA(),MATCH($B34&amp;$C34,'Smelter Look-up'!$J:$J,0))</f>
        <v>#N/A</v>
      </c>
      <c r="X34" s="170">
        <f t="shared" ca="1" si="6"/>
        <v>0</v>
      </c>
      <c r="AB34" s="313" t="str">
        <f t="shared" si="7"/>
        <v/>
      </c>
      <c r="AC34" s="170" t="str">
        <f t="shared" si="3"/>
        <v/>
      </c>
      <c r="AD34" s="170" t="str">
        <f t="shared" si="4"/>
        <v/>
      </c>
    </row>
    <row r="35" spans="1:30" s="170" customFormat="1" ht="20.399999999999999">
      <c r="A35" s="155"/>
      <c r="B35" s="303"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5" t="str">
        <f ca="1">IF(ISERROR($V35),"",OFFSET('Smelter Look-up'!$G$4,$V35-4,0))</f>
        <v/>
      </c>
      <c r="I35" s="206" t="str">
        <f ca="1">IF(ISERROR($V35),"",OFFSET('Smelter Look-up'!$H$4,$V35-4,0))</f>
        <v/>
      </c>
      <c r="J35" s="206" t="str">
        <f ca="1">IF(ISERROR($V35),"",OFFSET('Smelter Look-up'!$I$4,$V35-4,0))</f>
        <v/>
      </c>
      <c r="K35" s="150"/>
      <c r="L35" s="150"/>
      <c r="M35" s="150"/>
      <c r="N35" s="150"/>
      <c r="O35" s="150"/>
      <c r="P35" s="208"/>
      <c r="Q35" s="151"/>
      <c r="R35" s="149" t="str">
        <f ca="1">IF(ISERROR($V35),"",OFFSET('Smelter Look-up'!$C$4,$V35-4,0)&amp;"")</f>
        <v/>
      </c>
      <c r="S35" s="155" t="str">
        <f t="shared" ca="1" si="5"/>
        <v/>
      </c>
      <c r="T35" s="155" t="str">
        <f ca="1">IF(B35="","",IF(ISERROR(MATCH($J35,SorP!$B$1:$B$6226,0)),"",INDIRECT("'SorP'!$A$"&amp;MATCH($S35&amp;$J35,SorP!C:C,0))))</f>
        <v/>
      </c>
      <c r="U35" s="168"/>
      <c r="V35" s="169" t="e">
        <f>IF(C35="",NA(),MATCH($B35&amp;$C35,'Smelter Look-up'!$J:$J,0))</f>
        <v>#N/A</v>
      </c>
      <c r="X35" s="170">
        <f t="shared" ca="1" si="6"/>
        <v>0</v>
      </c>
      <c r="AB35" s="313" t="str">
        <f t="shared" si="7"/>
        <v/>
      </c>
      <c r="AC35" s="170" t="str">
        <f t="shared" si="3"/>
        <v/>
      </c>
      <c r="AD35" s="170" t="str">
        <f t="shared" si="4"/>
        <v/>
      </c>
    </row>
    <row r="36" spans="1:30" s="170" customFormat="1" ht="20.399999999999999">
      <c r="A36" s="155"/>
      <c r="B36" s="303"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5" t="str">
        <f ca="1">IF(ISERROR($V36),"",OFFSET('Smelter Look-up'!$G$4,$V36-4,0))</f>
        <v/>
      </c>
      <c r="I36" s="206" t="str">
        <f ca="1">IF(ISERROR($V36),"",OFFSET('Smelter Look-up'!$H$4,$V36-4,0))</f>
        <v/>
      </c>
      <c r="J36" s="206" t="str">
        <f ca="1">IF(ISERROR($V36),"",OFFSET('Smelter Look-up'!$I$4,$V36-4,0))</f>
        <v/>
      </c>
      <c r="K36" s="150"/>
      <c r="L36" s="150"/>
      <c r="M36" s="150"/>
      <c r="N36" s="150"/>
      <c r="O36" s="150"/>
      <c r="P36" s="208"/>
      <c r="Q36" s="151"/>
      <c r="R36" s="149" t="str">
        <f ca="1">IF(ISERROR($V36),"",OFFSET('Smelter Look-up'!$C$4,$V36-4,0)&amp;"")</f>
        <v/>
      </c>
      <c r="S36" s="155" t="str">
        <f t="shared" ca="1" si="5"/>
        <v/>
      </c>
      <c r="T36" s="155" t="str">
        <f ca="1">IF(B36="","",IF(ISERROR(MATCH($J36,SorP!$B$1:$B$6226,0)),"",INDIRECT("'SorP'!$A$"&amp;MATCH($S36&amp;$J36,SorP!C:C,0))))</f>
        <v/>
      </c>
      <c r="U36" s="168"/>
      <c r="V36" s="169" t="e">
        <f>IF(C36="",NA(),MATCH($B36&amp;$C36,'Smelter Look-up'!$J:$J,0))</f>
        <v>#N/A</v>
      </c>
      <c r="X36" s="170">
        <f t="shared" ca="1" si="6"/>
        <v>0</v>
      </c>
      <c r="AB36" s="313" t="str">
        <f t="shared" si="7"/>
        <v/>
      </c>
      <c r="AC36" s="170" t="str">
        <f t="shared" si="3"/>
        <v/>
      </c>
      <c r="AD36" s="170" t="str">
        <f t="shared" si="4"/>
        <v/>
      </c>
    </row>
    <row r="37" spans="1:30" s="170" customFormat="1" ht="20.399999999999999">
      <c r="A37" s="155"/>
      <c r="B37" s="303"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5" t="str">
        <f ca="1">IF(ISERROR($V37),"",OFFSET('Smelter Look-up'!$G$4,$V37-4,0))</f>
        <v/>
      </c>
      <c r="I37" s="206" t="str">
        <f ca="1">IF(ISERROR($V37),"",OFFSET('Smelter Look-up'!$H$4,$V37-4,0))</f>
        <v/>
      </c>
      <c r="J37" s="206" t="str">
        <f ca="1">IF(ISERROR($V37),"",OFFSET('Smelter Look-up'!$I$4,$V37-4,0))</f>
        <v/>
      </c>
      <c r="K37" s="150"/>
      <c r="L37" s="150"/>
      <c r="M37" s="150"/>
      <c r="N37" s="150"/>
      <c r="O37" s="150"/>
      <c r="P37" s="208"/>
      <c r="Q37" s="151"/>
      <c r="R37" s="149" t="str">
        <f ca="1">IF(ISERROR($V37),"",OFFSET('Smelter Look-up'!$C$4,$V37-4,0)&amp;"")</f>
        <v/>
      </c>
      <c r="S37" s="155" t="str">
        <f t="shared" ca="1" si="5"/>
        <v/>
      </c>
      <c r="T37" s="155" t="str">
        <f ca="1">IF(B37="","",IF(ISERROR(MATCH($J37,SorP!$B$1:$B$6226,0)),"",INDIRECT("'SorP'!$A$"&amp;MATCH($S37&amp;$J37,SorP!C:C,0))))</f>
        <v/>
      </c>
      <c r="U37" s="168"/>
      <c r="V37" s="169" t="e">
        <f>IF(C37="",NA(),MATCH($B37&amp;$C37,'Smelter Look-up'!$J:$J,0))</f>
        <v>#N/A</v>
      </c>
      <c r="X37" s="170">
        <f t="shared" ca="1" si="6"/>
        <v>0</v>
      </c>
      <c r="AB37" s="313" t="str">
        <f t="shared" si="7"/>
        <v/>
      </c>
      <c r="AC37" s="170" t="str">
        <f t="shared" si="3"/>
        <v/>
      </c>
      <c r="AD37" s="170" t="str">
        <f t="shared" si="4"/>
        <v/>
      </c>
    </row>
    <row r="38" spans="1:30" s="170" customFormat="1" ht="20.399999999999999">
      <c r="A38" s="155"/>
      <c r="B38" s="303"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5" t="str">
        <f ca="1">IF(ISERROR($V38),"",OFFSET('Smelter Look-up'!$G$4,$V38-4,0))</f>
        <v/>
      </c>
      <c r="I38" s="206" t="str">
        <f ca="1">IF(ISERROR($V38),"",OFFSET('Smelter Look-up'!$H$4,$V38-4,0))</f>
        <v/>
      </c>
      <c r="J38" s="206" t="str">
        <f ca="1">IF(ISERROR($V38),"",OFFSET('Smelter Look-up'!$I$4,$V38-4,0))</f>
        <v/>
      </c>
      <c r="K38" s="150"/>
      <c r="L38" s="150"/>
      <c r="M38" s="150"/>
      <c r="N38" s="150"/>
      <c r="O38" s="150"/>
      <c r="P38" s="208"/>
      <c r="Q38" s="151"/>
      <c r="R38" s="149" t="str">
        <f ca="1">IF(ISERROR($V38),"",OFFSET('Smelter Look-up'!$C$4,$V38-4,0)&amp;"")</f>
        <v/>
      </c>
      <c r="S38" s="155" t="str">
        <f t="shared" ca="1" si="5"/>
        <v/>
      </c>
      <c r="T38" s="155" t="str">
        <f ca="1">IF(B38="","",IF(ISERROR(MATCH($J38,SorP!$B$1:$B$6226,0)),"",INDIRECT("'SorP'!$A$"&amp;MATCH($S38&amp;$J38,SorP!C:C,0))))</f>
        <v/>
      </c>
      <c r="U38" s="168"/>
      <c r="V38" s="169" t="e">
        <f>IF(C38="",NA(),MATCH($B38&amp;$C38,'Smelter Look-up'!$J:$J,0))</f>
        <v>#N/A</v>
      </c>
      <c r="X38" s="170">
        <f t="shared" ca="1" si="6"/>
        <v>0</v>
      </c>
      <c r="AB38" s="313" t="str">
        <f t="shared" si="7"/>
        <v/>
      </c>
      <c r="AC38" s="170" t="str">
        <f t="shared" si="3"/>
        <v/>
      </c>
      <c r="AD38" s="170" t="str">
        <f t="shared" si="4"/>
        <v/>
      </c>
    </row>
    <row r="39" spans="1:30" s="170" customFormat="1" ht="20.399999999999999">
      <c r="A39" s="155"/>
      <c r="B39" s="303"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5" t="str">
        <f ca="1">IF(ISERROR($V39),"",OFFSET('Smelter Look-up'!$G$4,$V39-4,0))</f>
        <v/>
      </c>
      <c r="I39" s="206" t="str">
        <f ca="1">IF(ISERROR($V39),"",OFFSET('Smelter Look-up'!$H$4,$V39-4,0))</f>
        <v/>
      </c>
      <c r="J39" s="206" t="str">
        <f ca="1">IF(ISERROR($V39),"",OFFSET('Smelter Look-up'!$I$4,$V39-4,0))</f>
        <v/>
      </c>
      <c r="K39" s="150"/>
      <c r="L39" s="150"/>
      <c r="M39" s="150"/>
      <c r="N39" s="150"/>
      <c r="O39" s="150"/>
      <c r="P39" s="208"/>
      <c r="Q39" s="151"/>
      <c r="R39" s="149" t="str">
        <f ca="1">IF(ISERROR($V39),"",OFFSET('Smelter Look-up'!$C$4,$V39-4,0)&amp;"")</f>
        <v/>
      </c>
      <c r="S39" s="155" t="str">
        <f t="shared" ca="1" si="5"/>
        <v/>
      </c>
      <c r="T39" s="155" t="str">
        <f ca="1">IF(B39="","",IF(ISERROR(MATCH($J39,SorP!$B$1:$B$6226,0)),"",INDIRECT("'SorP'!$A$"&amp;MATCH($S39&amp;$J39,SorP!C:C,0))))</f>
        <v/>
      </c>
      <c r="U39" s="168"/>
      <c r="V39" s="169" t="e">
        <f>IF(C39="",NA(),MATCH($B39&amp;$C39,'Smelter Look-up'!$J:$J,0))</f>
        <v>#N/A</v>
      </c>
      <c r="X39" s="170">
        <f t="shared" ca="1" si="6"/>
        <v>0</v>
      </c>
      <c r="AB39" s="313" t="str">
        <f t="shared" si="7"/>
        <v/>
      </c>
      <c r="AC39" s="170" t="str">
        <f t="shared" si="3"/>
        <v/>
      </c>
      <c r="AD39" s="170" t="str">
        <f t="shared" si="4"/>
        <v/>
      </c>
    </row>
    <row r="40" spans="1:30" s="170" customFormat="1" ht="20.399999999999999">
      <c r="A40" s="155"/>
      <c r="B40" s="303"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5" t="str">
        <f ca="1">IF(ISERROR($V40),"",OFFSET('Smelter Look-up'!$G$4,$V40-4,0))</f>
        <v/>
      </c>
      <c r="I40" s="206" t="str">
        <f ca="1">IF(ISERROR($V40),"",OFFSET('Smelter Look-up'!$H$4,$V40-4,0))</f>
        <v/>
      </c>
      <c r="J40" s="206" t="str">
        <f ca="1">IF(ISERROR($V40),"",OFFSET('Smelter Look-up'!$I$4,$V40-4,0))</f>
        <v/>
      </c>
      <c r="K40" s="150"/>
      <c r="L40" s="150"/>
      <c r="M40" s="150"/>
      <c r="N40" s="150"/>
      <c r="O40" s="150"/>
      <c r="P40" s="208"/>
      <c r="Q40" s="151"/>
      <c r="R40" s="149" t="str">
        <f ca="1">IF(ISERROR($V40),"",OFFSET('Smelter Look-up'!$C$4,$V40-4,0)&amp;"")</f>
        <v/>
      </c>
      <c r="S40" s="155" t="str">
        <f t="shared" ca="1" si="5"/>
        <v/>
      </c>
      <c r="T40" s="155" t="str">
        <f ca="1">IF(B40="","",IF(ISERROR(MATCH($J40,SorP!$B$1:$B$6226,0)),"",INDIRECT("'SorP'!$A$"&amp;MATCH($S40&amp;$J40,SorP!C:C,0))))</f>
        <v/>
      </c>
      <c r="U40" s="168"/>
      <c r="V40" s="169" t="e">
        <f>IF(C40="",NA(),MATCH($B40&amp;$C40,'Smelter Look-up'!$J:$J,0))</f>
        <v>#N/A</v>
      </c>
      <c r="X40" s="170">
        <f t="shared" ca="1" si="6"/>
        <v>0</v>
      </c>
      <c r="AB40" s="313" t="str">
        <f t="shared" si="7"/>
        <v/>
      </c>
      <c r="AC40" s="170" t="str">
        <f t="shared" si="3"/>
        <v/>
      </c>
      <c r="AD40" s="170" t="str">
        <f t="shared" si="4"/>
        <v/>
      </c>
    </row>
    <row r="41" spans="1:30" s="170" customFormat="1" ht="20.399999999999999">
      <c r="A41" s="155"/>
      <c r="B41" s="303"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5" t="str">
        <f ca="1">IF(ISERROR($V41),"",OFFSET('Smelter Look-up'!$G$4,$V41-4,0))</f>
        <v/>
      </c>
      <c r="I41" s="206" t="str">
        <f ca="1">IF(ISERROR($V41),"",OFFSET('Smelter Look-up'!$H$4,$V41-4,0))</f>
        <v/>
      </c>
      <c r="J41" s="206" t="str">
        <f ca="1">IF(ISERROR($V41),"",OFFSET('Smelter Look-up'!$I$4,$V41-4,0))</f>
        <v/>
      </c>
      <c r="K41" s="150"/>
      <c r="L41" s="150"/>
      <c r="M41" s="150"/>
      <c r="N41" s="150"/>
      <c r="O41" s="150"/>
      <c r="P41" s="208"/>
      <c r="Q41" s="151"/>
      <c r="R41" s="149" t="str">
        <f ca="1">IF(ISERROR($V41),"",OFFSET('Smelter Look-up'!$C$4,$V41-4,0)&amp;"")</f>
        <v/>
      </c>
      <c r="S41" s="155" t="str">
        <f t="shared" ca="1" si="5"/>
        <v/>
      </c>
      <c r="T41" s="155" t="str">
        <f ca="1">IF(B41="","",IF(ISERROR(MATCH($J41,SorP!$B$1:$B$6226,0)),"",INDIRECT("'SorP'!$A$"&amp;MATCH($S41&amp;$J41,SorP!C:C,0))))</f>
        <v/>
      </c>
      <c r="U41" s="168"/>
      <c r="V41" s="169" t="e">
        <f>IF(C41="",NA(),MATCH($B41&amp;$C41,'Smelter Look-up'!$J:$J,0))</f>
        <v>#N/A</v>
      </c>
      <c r="X41" s="170">
        <f t="shared" ca="1" si="6"/>
        <v>0</v>
      </c>
      <c r="AB41" s="313" t="str">
        <f t="shared" si="7"/>
        <v/>
      </c>
      <c r="AC41" s="170" t="str">
        <f t="shared" si="3"/>
        <v/>
      </c>
      <c r="AD41" s="170" t="str">
        <f t="shared" si="4"/>
        <v/>
      </c>
    </row>
    <row r="42" spans="1:30" s="170" customFormat="1" ht="20.399999999999999">
      <c r="A42" s="155"/>
      <c r="B42" s="303"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5" t="str">
        <f ca="1">IF(ISERROR($V42),"",OFFSET('Smelter Look-up'!$G$4,$V42-4,0))</f>
        <v/>
      </c>
      <c r="I42" s="206" t="str">
        <f ca="1">IF(ISERROR($V42),"",OFFSET('Smelter Look-up'!$H$4,$V42-4,0))</f>
        <v/>
      </c>
      <c r="J42" s="206" t="str">
        <f ca="1">IF(ISERROR($V42),"",OFFSET('Smelter Look-up'!$I$4,$V42-4,0))</f>
        <v/>
      </c>
      <c r="K42" s="150"/>
      <c r="L42" s="150"/>
      <c r="M42" s="150"/>
      <c r="N42" s="150"/>
      <c r="O42" s="150"/>
      <c r="P42" s="208"/>
      <c r="Q42" s="151"/>
      <c r="R42" s="149" t="str">
        <f ca="1">IF(ISERROR($V42),"",OFFSET('Smelter Look-up'!$C$4,$V42-4,0)&amp;"")</f>
        <v/>
      </c>
      <c r="S42" s="155" t="str">
        <f t="shared" ca="1" si="5"/>
        <v/>
      </c>
      <c r="T42" s="155" t="str">
        <f ca="1">IF(B42="","",IF(ISERROR(MATCH($J42,SorP!$B$1:$B$6226,0)),"",INDIRECT("'SorP'!$A$"&amp;MATCH($S42&amp;$J42,SorP!C:C,0))))</f>
        <v/>
      </c>
      <c r="U42" s="168"/>
      <c r="V42" s="169" t="e">
        <f>IF(C42="",NA(),MATCH($B42&amp;$C42,'Smelter Look-up'!$J:$J,0))</f>
        <v>#N/A</v>
      </c>
      <c r="X42" s="170">
        <f t="shared" ca="1" si="6"/>
        <v>0</v>
      </c>
      <c r="AB42" s="313" t="str">
        <f t="shared" si="7"/>
        <v/>
      </c>
      <c r="AC42" s="170" t="str">
        <f t="shared" si="3"/>
        <v/>
      </c>
      <c r="AD42" s="170" t="str">
        <f t="shared" si="4"/>
        <v/>
      </c>
    </row>
    <row r="43" spans="1:30" s="170" customFormat="1" ht="20.399999999999999">
      <c r="A43" s="155"/>
      <c r="B43" s="303"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5" t="str">
        <f ca="1">IF(ISERROR($V43),"",OFFSET('Smelter Look-up'!$G$4,$V43-4,0))</f>
        <v/>
      </c>
      <c r="I43" s="206" t="str">
        <f ca="1">IF(ISERROR($V43),"",OFFSET('Smelter Look-up'!$H$4,$V43-4,0))</f>
        <v/>
      </c>
      <c r="J43" s="206" t="str">
        <f ca="1">IF(ISERROR($V43),"",OFFSET('Smelter Look-up'!$I$4,$V43-4,0))</f>
        <v/>
      </c>
      <c r="K43" s="150"/>
      <c r="L43" s="150"/>
      <c r="M43" s="150"/>
      <c r="N43" s="150"/>
      <c r="O43" s="150"/>
      <c r="P43" s="208"/>
      <c r="Q43" s="151"/>
      <c r="R43" s="149" t="str">
        <f ca="1">IF(ISERROR($V43),"",OFFSET('Smelter Look-up'!$C$4,$V43-4,0)&amp;"")</f>
        <v/>
      </c>
      <c r="S43" s="155" t="str">
        <f t="shared" ca="1" si="5"/>
        <v/>
      </c>
      <c r="T43" s="155" t="str">
        <f ca="1">IF(B43="","",IF(ISERROR(MATCH($J43,SorP!$B$1:$B$6226,0)),"",INDIRECT("'SorP'!$A$"&amp;MATCH($S43&amp;$J43,SorP!C:C,0))))</f>
        <v/>
      </c>
      <c r="U43" s="168"/>
      <c r="V43" s="169" t="e">
        <f>IF(C43="",NA(),MATCH($B43&amp;$C43,'Smelter Look-up'!$J:$J,0))</f>
        <v>#N/A</v>
      </c>
      <c r="X43" s="170">
        <f t="shared" ca="1" si="6"/>
        <v>0</v>
      </c>
      <c r="AB43" s="313" t="str">
        <f t="shared" si="7"/>
        <v/>
      </c>
      <c r="AC43" s="170" t="str">
        <f t="shared" si="3"/>
        <v/>
      </c>
      <c r="AD43" s="170" t="str">
        <f t="shared" si="4"/>
        <v/>
      </c>
    </row>
    <row r="44" spans="1:30" s="170" customFormat="1" ht="20.399999999999999">
      <c r="A44" s="155"/>
      <c r="B44" s="303"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5" t="str">
        <f ca="1">IF(ISERROR($V44),"",OFFSET('Smelter Look-up'!$G$4,$V44-4,0))</f>
        <v/>
      </c>
      <c r="I44" s="206" t="str">
        <f ca="1">IF(ISERROR($V44),"",OFFSET('Smelter Look-up'!$H$4,$V44-4,0))</f>
        <v/>
      </c>
      <c r="J44" s="206" t="str">
        <f ca="1">IF(ISERROR($V44),"",OFFSET('Smelter Look-up'!$I$4,$V44-4,0))</f>
        <v/>
      </c>
      <c r="K44" s="150"/>
      <c r="L44" s="150"/>
      <c r="M44" s="150"/>
      <c r="N44" s="150"/>
      <c r="O44" s="150"/>
      <c r="P44" s="208"/>
      <c r="Q44" s="151"/>
      <c r="R44" s="149" t="str">
        <f ca="1">IF(ISERROR($V44),"",OFFSET('Smelter Look-up'!$C$4,$V44-4,0)&amp;"")</f>
        <v/>
      </c>
      <c r="S44" s="155" t="str">
        <f t="shared" ca="1" si="5"/>
        <v/>
      </c>
      <c r="T44" s="155" t="str">
        <f ca="1">IF(B44="","",IF(ISERROR(MATCH($J44,SorP!$B$1:$B$6226,0)),"",INDIRECT("'SorP'!$A$"&amp;MATCH($S44&amp;$J44,SorP!C:C,0))))</f>
        <v/>
      </c>
      <c r="U44" s="168"/>
      <c r="V44" s="169" t="e">
        <f>IF(C44="",NA(),MATCH($B44&amp;$C44,'Smelter Look-up'!$J:$J,0))</f>
        <v>#N/A</v>
      </c>
      <c r="X44" s="170">
        <f t="shared" ca="1" si="6"/>
        <v>0</v>
      </c>
      <c r="AB44" s="313" t="str">
        <f t="shared" si="7"/>
        <v/>
      </c>
      <c r="AC44" s="170" t="str">
        <f t="shared" si="3"/>
        <v/>
      </c>
      <c r="AD44" s="170" t="str">
        <f t="shared" si="4"/>
        <v/>
      </c>
    </row>
    <row r="45" spans="1:30" s="170" customFormat="1" ht="20.399999999999999">
      <c r="A45" s="155"/>
      <c r="B45" s="303"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5" t="str">
        <f ca="1">IF(ISERROR($V45),"",OFFSET('Smelter Look-up'!$G$4,$V45-4,0))</f>
        <v/>
      </c>
      <c r="I45" s="206" t="str">
        <f ca="1">IF(ISERROR($V45),"",OFFSET('Smelter Look-up'!$H$4,$V45-4,0))</f>
        <v/>
      </c>
      <c r="J45" s="206" t="str">
        <f ca="1">IF(ISERROR($V45),"",OFFSET('Smelter Look-up'!$I$4,$V45-4,0))</f>
        <v/>
      </c>
      <c r="K45" s="150"/>
      <c r="L45" s="150"/>
      <c r="M45" s="150"/>
      <c r="N45" s="150"/>
      <c r="O45" s="150"/>
      <c r="P45" s="208"/>
      <c r="Q45" s="151"/>
      <c r="R45" s="149" t="str">
        <f ca="1">IF(ISERROR($V45),"",OFFSET('Smelter Look-up'!$C$4,$V45-4,0)&amp;"")</f>
        <v/>
      </c>
      <c r="S45" s="155" t="str">
        <f t="shared" ca="1" si="5"/>
        <v/>
      </c>
      <c r="T45" s="155" t="str">
        <f ca="1">IF(B45="","",IF(ISERROR(MATCH($J45,SorP!$B$1:$B$6226,0)),"",INDIRECT("'SorP'!$A$"&amp;MATCH($S45&amp;$J45,SorP!C:C,0))))</f>
        <v/>
      </c>
      <c r="U45" s="168"/>
      <c r="V45" s="169" t="e">
        <f>IF(C45="",NA(),MATCH($B45&amp;$C45,'Smelter Look-up'!$J:$J,0))</f>
        <v>#N/A</v>
      </c>
      <c r="X45" s="170">
        <f t="shared" ca="1" si="6"/>
        <v>0</v>
      </c>
      <c r="AB45" s="313" t="str">
        <f t="shared" si="7"/>
        <v/>
      </c>
      <c r="AC45" s="170" t="str">
        <f t="shared" si="3"/>
        <v/>
      </c>
      <c r="AD45" s="170" t="str">
        <f t="shared" si="4"/>
        <v/>
      </c>
    </row>
    <row r="46" spans="1:30" s="170" customFormat="1" ht="20.399999999999999">
      <c r="A46" s="155"/>
      <c r="B46" s="303"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5" t="str">
        <f ca="1">IF(ISERROR($V46),"",OFFSET('Smelter Look-up'!$G$4,$V46-4,0))</f>
        <v/>
      </c>
      <c r="I46" s="206" t="str">
        <f ca="1">IF(ISERROR($V46),"",OFFSET('Smelter Look-up'!$H$4,$V46-4,0))</f>
        <v/>
      </c>
      <c r="J46" s="206" t="str">
        <f ca="1">IF(ISERROR($V46),"",OFFSET('Smelter Look-up'!$I$4,$V46-4,0))</f>
        <v/>
      </c>
      <c r="K46" s="150"/>
      <c r="L46" s="150"/>
      <c r="M46" s="150"/>
      <c r="N46" s="150"/>
      <c r="O46" s="150"/>
      <c r="P46" s="208"/>
      <c r="Q46" s="151"/>
      <c r="R46" s="149" t="str">
        <f ca="1">IF(ISERROR($V46),"",OFFSET('Smelter Look-up'!$C$4,$V46-4,0)&amp;"")</f>
        <v/>
      </c>
      <c r="S46" s="155" t="str">
        <f t="shared" ca="1" si="5"/>
        <v/>
      </c>
      <c r="T46" s="155" t="str">
        <f ca="1">IF(B46="","",IF(ISERROR(MATCH($J46,SorP!$B$1:$B$6226,0)),"",INDIRECT("'SorP'!$A$"&amp;MATCH($S46&amp;$J46,SorP!C:C,0))))</f>
        <v/>
      </c>
      <c r="U46" s="168"/>
      <c r="V46" s="169" t="e">
        <f>IF(C46="",NA(),MATCH($B46&amp;$C46,'Smelter Look-up'!$J:$J,0))</f>
        <v>#N/A</v>
      </c>
      <c r="X46" s="170">
        <f t="shared" ca="1" si="6"/>
        <v>0</v>
      </c>
      <c r="AB46" s="313" t="str">
        <f t="shared" si="7"/>
        <v/>
      </c>
      <c r="AC46" s="170" t="str">
        <f t="shared" si="3"/>
        <v/>
      </c>
      <c r="AD46" s="170" t="str">
        <f t="shared" si="4"/>
        <v/>
      </c>
    </row>
    <row r="47" spans="1:30" s="170" customFormat="1" ht="20.399999999999999">
      <c r="A47" s="155"/>
      <c r="B47" s="303"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5" t="str">
        <f ca="1">IF(ISERROR($V47),"",OFFSET('Smelter Look-up'!$G$4,$V47-4,0))</f>
        <v/>
      </c>
      <c r="I47" s="206" t="str">
        <f ca="1">IF(ISERROR($V47),"",OFFSET('Smelter Look-up'!$H$4,$V47-4,0))</f>
        <v/>
      </c>
      <c r="J47" s="206" t="str">
        <f ca="1">IF(ISERROR($V47),"",OFFSET('Smelter Look-up'!$I$4,$V47-4,0))</f>
        <v/>
      </c>
      <c r="K47" s="150"/>
      <c r="L47" s="150"/>
      <c r="M47" s="150"/>
      <c r="N47" s="150"/>
      <c r="O47" s="150"/>
      <c r="P47" s="208"/>
      <c r="Q47" s="151"/>
      <c r="R47" s="149" t="str">
        <f ca="1">IF(ISERROR($V47),"",OFFSET('Smelter Look-up'!$C$4,$V47-4,0)&amp;"")</f>
        <v/>
      </c>
      <c r="S47" s="155" t="str">
        <f t="shared" ca="1" si="5"/>
        <v/>
      </c>
      <c r="T47" s="155" t="str">
        <f ca="1">IF(B47="","",IF(ISERROR(MATCH($J47,SorP!$B$1:$B$6226,0)),"",INDIRECT("'SorP'!$A$"&amp;MATCH($S47&amp;$J47,SorP!C:C,0))))</f>
        <v/>
      </c>
      <c r="U47" s="168"/>
      <c r="V47" s="169" t="e">
        <f>IF(C47="",NA(),MATCH($B47&amp;$C47,'Smelter Look-up'!$J:$J,0))</f>
        <v>#N/A</v>
      </c>
      <c r="X47" s="170">
        <f t="shared" ca="1" si="6"/>
        <v>0</v>
      </c>
      <c r="AB47" s="313" t="str">
        <f t="shared" si="7"/>
        <v/>
      </c>
      <c r="AC47" s="170" t="str">
        <f t="shared" si="3"/>
        <v/>
      </c>
      <c r="AD47" s="170" t="str">
        <f t="shared" si="4"/>
        <v/>
      </c>
    </row>
    <row r="48" spans="1:30" s="170" customFormat="1" ht="20.399999999999999">
      <c r="A48" s="155"/>
      <c r="B48" s="303"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5" t="str">
        <f ca="1">IF(ISERROR($V48),"",OFFSET('Smelter Look-up'!$G$4,$V48-4,0))</f>
        <v/>
      </c>
      <c r="I48" s="206" t="str">
        <f ca="1">IF(ISERROR($V48),"",OFFSET('Smelter Look-up'!$H$4,$V48-4,0))</f>
        <v/>
      </c>
      <c r="J48" s="206" t="str">
        <f ca="1">IF(ISERROR($V48),"",OFFSET('Smelter Look-up'!$I$4,$V48-4,0))</f>
        <v/>
      </c>
      <c r="K48" s="150"/>
      <c r="L48" s="150"/>
      <c r="M48" s="150"/>
      <c r="N48" s="150"/>
      <c r="O48" s="150"/>
      <c r="P48" s="208"/>
      <c r="Q48" s="151"/>
      <c r="R48" s="149" t="str">
        <f ca="1">IF(ISERROR($V48),"",OFFSET('Smelter Look-up'!$C$4,$V48-4,0)&amp;"")</f>
        <v/>
      </c>
      <c r="S48" s="155" t="str">
        <f t="shared" ca="1" si="5"/>
        <v/>
      </c>
      <c r="T48" s="155" t="str">
        <f ca="1">IF(B48="","",IF(ISERROR(MATCH($J48,SorP!$B$1:$B$6226,0)),"",INDIRECT("'SorP'!$A$"&amp;MATCH($S48&amp;$J48,SorP!C:C,0))))</f>
        <v/>
      </c>
      <c r="U48" s="168"/>
      <c r="V48" s="169" t="e">
        <f>IF(C48="",NA(),MATCH($B48&amp;$C48,'Smelter Look-up'!$J:$J,0))</f>
        <v>#N/A</v>
      </c>
      <c r="X48" s="170">
        <f t="shared" ca="1" si="6"/>
        <v>0</v>
      </c>
      <c r="AB48" s="313" t="str">
        <f t="shared" si="7"/>
        <v/>
      </c>
      <c r="AC48" s="170" t="str">
        <f t="shared" si="3"/>
        <v/>
      </c>
      <c r="AD48" s="170" t="str">
        <f t="shared" si="4"/>
        <v/>
      </c>
    </row>
    <row r="49" spans="1:30" s="170" customFormat="1" ht="20.399999999999999">
      <c r="A49" s="155"/>
      <c r="B49" s="303"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5" t="str">
        <f ca="1">IF(ISERROR($V49),"",OFFSET('Smelter Look-up'!$G$4,$V49-4,0))</f>
        <v/>
      </c>
      <c r="I49" s="206" t="str">
        <f ca="1">IF(ISERROR($V49),"",OFFSET('Smelter Look-up'!$H$4,$V49-4,0))</f>
        <v/>
      </c>
      <c r="J49" s="206" t="str">
        <f ca="1">IF(ISERROR($V49),"",OFFSET('Smelter Look-up'!$I$4,$V49-4,0))</f>
        <v/>
      </c>
      <c r="K49" s="150"/>
      <c r="L49" s="150"/>
      <c r="M49" s="150"/>
      <c r="N49" s="150"/>
      <c r="O49" s="150"/>
      <c r="P49" s="208"/>
      <c r="Q49" s="151"/>
      <c r="R49" s="149" t="str">
        <f ca="1">IF(ISERROR($V49),"",OFFSET('Smelter Look-up'!$C$4,$V49-4,0)&amp;"")</f>
        <v/>
      </c>
      <c r="S49" s="155" t="str">
        <f t="shared" ca="1" si="5"/>
        <v/>
      </c>
      <c r="T49" s="155" t="str">
        <f ca="1">IF(B49="","",IF(ISERROR(MATCH($J49,SorP!$B$1:$B$6226,0)),"",INDIRECT("'SorP'!$A$"&amp;MATCH($S49&amp;$J49,SorP!C:C,0))))</f>
        <v/>
      </c>
      <c r="U49" s="168"/>
      <c r="V49" s="169" t="e">
        <f>IF(C49="",NA(),MATCH($B49&amp;$C49,'Smelter Look-up'!$J:$J,0))</f>
        <v>#N/A</v>
      </c>
      <c r="X49" s="170">
        <f t="shared" ca="1" si="6"/>
        <v>0</v>
      </c>
      <c r="AB49" s="313" t="str">
        <f t="shared" si="7"/>
        <v/>
      </c>
      <c r="AC49" s="170" t="str">
        <f t="shared" si="3"/>
        <v/>
      </c>
      <c r="AD49" s="170" t="str">
        <f t="shared" si="4"/>
        <v/>
      </c>
    </row>
    <row r="50" spans="1:30" s="170" customFormat="1" ht="20.399999999999999">
      <c r="A50" s="155"/>
      <c r="B50" s="303"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5" t="str">
        <f ca="1">IF(ISERROR($V50),"",OFFSET('Smelter Look-up'!$G$4,$V50-4,0))</f>
        <v/>
      </c>
      <c r="I50" s="206" t="str">
        <f ca="1">IF(ISERROR($V50),"",OFFSET('Smelter Look-up'!$H$4,$V50-4,0))</f>
        <v/>
      </c>
      <c r="J50" s="206" t="str">
        <f ca="1">IF(ISERROR($V50),"",OFFSET('Smelter Look-up'!$I$4,$V50-4,0))</f>
        <v/>
      </c>
      <c r="K50" s="150"/>
      <c r="L50" s="150"/>
      <c r="M50" s="150"/>
      <c r="N50" s="150"/>
      <c r="O50" s="150"/>
      <c r="P50" s="208"/>
      <c r="Q50" s="151"/>
      <c r="R50" s="149" t="str">
        <f ca="1">IF(ISERROR($V50),"",OFFSET('Smelter Look-up'!$C$4,$V50-4,0)&amp;"")</f>
        <v/>
      </c>
      <c r="S50" s="155" t="str">
        <f t="shared" ca="1" si="5"/>
        <v/>
      </c>
      <c r="T50" s="155" t="str">
        <f ca="1">IF(B50="","",IF(ISERROR(MATCH($J50,SorP!$B$1:$B$6226,0)),"",INDIRECT("'SorP'!$A$"&amp;MATCH($S50&amp;$J50,SorP!C:C,0))))</f>
        <v/>
      </c>
      <c r="U50" s="168"/>
      <c r="V50" s="169" t="e">
        <f>IF(C50="",NA(),MATCH($B50&amp;$C50,'Smelter Look-up'!$J:$J,0))</f>
        <v>#N/A</v>
      </c>
      <c r="X50" s="170">
        <f t="shared" ca="1" si="6"/>
        <v>0</v>
      </c>
      <c r="AB50" s="313" t="str">
        <f t="shared" si="7"/>
        <v/>
      </c>
      <c r="AC50" s="170" t="str">
        <f t="shared" si="3"/>
        <v/>
      </c>
      <c r="AD50" s="170" t="str">
        <f t="shared" si="4"/>
        <v/>
      </c>
    </row>
    <row r="51" spans="1:30" s="170" customFormat="1" ht="20.399999999999999">
      <c r="A51" s="155"/>
      <c r="B51" s="303"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5" t="str">
        <f ca="1">IF(ISERROR($V51),"",OFFSET('Smelter Look-up'!$G$4,$V51-4,0))</f>
        <v/>
      </c>
      <c r="I51" s="206" t="str">
        <f ca="1">IF(ISERROR($V51),"",OFFSET('Smelter Look-up'!$H$4,$V51-4,0))</f>
        <v/>
      </c>
      <c r="J51" s="206" t="str">
        <f ca="1">IF(ISERROR($V51),"",OFFSET('Smelter Look-up'!$I$4,$V51-4,0))</f>
        <v/>
      </c>
      <c r="K51" s="150"/>
      <c r="L51" s="150"/>
      <c r="M51" s="150"/>
      <c r="N51" s="150"/>
      <c r="O51" s="150"/>
      <c r="P51" s="208"/>
      <c r="Q51" s="151"/>
      <c r="R51" s="149" t="str">
        <f ca="1">IF(ISERROR($V51),"",OFFSET('Smelter Look-up'!$C$4,$V51-4,0)&amp;"")</f>
        <v/>
      </c>
      <c r="S51" s="155" t="str">
        <f t="shared" ca="1" si="5"/>
        <v/>
      </c>
      <c r="T51" s="155" t="str">
        <f ca="1">IF(B51="","",IF(ISERROR(MATCH($J51,SorP!$B$1:$B$6226,0)),"",INDIRECT("'SorP'!$A$"&amp;MATCH($S51&amp;$J51,SorP!C:C,0))))</f>
        <v/>
      </c>
      <c r="U51" s="168"/>
      <c r="V51" s="169" t="e">
        <f>IF(C51="",NA(),MATCH($B51&amp;$C51,'Smelter Look-up'!$J:$J,0))</f>
        <v>#N/A</v>
      </c>
      <c r="X51" s="170">
        <f t="shared" ca="1" si="6"/>
        <v>0</v>
      </c>
      <c r="AB51" s="313" t="str">
        <f t="shared" si="7"/>
        <v/>
      </c>
      <c r="AC51" s="170" t="str">
        <f t="shared" si="3"/>
        <v/>
      </c>
      <c r="AD51" s="170" t="str">
        <f t="shared" si="4"/>
        <v/>
      </c>
    </row>
    <row r="52" spans="1:30" s="170" customFormat="1" ht="20.399999999999999">
      <c r="A52" s="155"/>
      <c r="B52" s="303"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5" t="str">
        <f ca="1">IF(ISERROR($V52),"",OFFSET('Smelter Look-up'!$G$4,$V52-4,0))</f>
        <v/>
      </c>
      <c r="I52" s="206" t="str">
        <f ca="1">IF(ISERROR($V52),"",OFFSET('Smelter Look-up'!$H$4,$V52-4,0))</f>
        <v/>
      </c>
      <c r="J52" s="206" t="str">
        <f ca="1">IF(ISERROR($V52),"",OFFSET('Smelter Look-up'!$I$4,$V52-4,0))</f>
        <v/>
      </c>
      <c r="K52" s="150"/>
      <c r="L52" s="150"/>
      <c r="M52" s="150"/>
      <c r="N52" s="150"/>
      <c r="O52" s="150"/>
      <c r="P52" s="208"/>
      <c r="Q52" s="151"/>
      <c r="R52" s="149" t="str">
        <f ca="1">IF(ISERROR($V52),"",OFFSET('Smelter Look-up'!$C$4,$V52-4,0)&amp;"")</f>
        <v/>
      </c>
      <c r="S52" s="155" t="str">
        <f t="shared" ca="1" si="5"/>
        <v/>
      </c>
      <c r="T52" s="155" t="str">
        <f ca="1">IF(B52="","",IF(ISERROR(MATCH($J52,SorP!$B$1:$B$6226,0)),"",INDIRECT("'SorP'!$A$"&amp;MATCH($S52&amp;$J52,SorP!C:C,0))))</f>
        <v/>
      </c>
      <c r="U52" s="168"/>
      <c r="V52" s="169" t="e">
        <f>IF(C52="",NA(),MATCH($B52&amp;$C52,'Smelter Look-up'!$J:$J,0))</f>
        <v>#N/A</v>
      </c>
      <c r="X52" s="170">
        <f t="shared" ca="1" si="6"/>
        <v>0</v>
      </c>
      <c r="AB52" s="313" t="str">
        <f t="shared" si="7"/>
        <v/>
      </c>
      <c r="AC52" s="170" t="str">
        <f t="shared" si="3"/>
        <v/>
      </c>
      <c r="AD52" s="170" t="str">
        <f t="shared" si="4"/>
        <v/>
      </c>
    </row>
    <row r="53" spans="1:30" s="170" customFormat="1" ht="20.399999999999999">
      <c r="A53" s="155"/>
      <c r="B53" s="303"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5" t="str">
        <f ca="1">IF(ISERROR($V53),"",OFFSET('Smelter Look-up'!$G$4,$V53-4,0))</f>
        <v/>
      </c>
      <c r="I53" s="206" t="str">
        <f ca="1">IF(ISERROR($V53),"",OFFSET('Smelter Look-up'!$H$4,$V53-4,0))</f>
        <v/>
      </c>
      <c r="J53" s="206" t="str">
        <f ca="1">IF(ISERROR($V53),"",OFFSET('Smelter Look-up'!$I$4,$V53-4,0))</f>
        <v/>
      </c>
      <c r="K53" s="150"/>
      <c r="L53" s="150"/>
      <c r="M53" s="150"/>
      <c r="N53" s="150"/>
      <c r="O53" s="150"/>
      <c r="P53" s="208"/>
      <c r="Q53" s="151"/>
      <c r="R53" s="149" t="str">
        <f ca="1">IF(ISERROR($V53),"",OFFSET('Smelter Look-up'!$C$4,$V53-4,0)&amp;"")</f>
        <v/>
      </c>
      <c r="S53" s="155" t="str">
        <f t="shared" ca="1" si="5"/>
        <v/>
      </c>
      <c r="T53" s="155" t="str">
        <f ca="1">IF(B53="","",IF(ISERROR(MATCH($J53,SorP!$B$1:$B$6226,0)),"",INDIRECT("'SorP'!$A$"&amp;MATCH($S53&amp;$J53,SorP!C:C,0))))</f>
        <v/>
      </c>
      <c r="U53" s="168"/>
      <c r="V53" s="169" t="e">
        <f>IF(C53="",NA(),MATCH($B53&amp;$C53,'Smelter Look-up'!$J:$J,0))</f>
        <v>#N/A</v>
      </c>
      <c r="X53" s="170">
        <f t="shared" ca="1" si="6"/>
        <v>0</v>
      </c>
      <c r="AB53" s="313" t="str">
        <f t="shared" si="7"/>
        <v/>
      </c>
      <c r="AC53" s="170" t="str">
        <f t="shared" si="3"/>
        <v/>
      </c>
      <c r="AD53" s="170" t="str">
        <f t="shared" si="4"/>
        <v/>
      </c>
    </row>
    <row r="54" spans="1:30" s="170" customFormat="1" ht="20.399999999999999">
      <c r="A54" s="155"/>
      <c r="B54" s="303"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5" t="str">
        <f ca="1">IF(ISERROR($V54),"",OFFSET('Smelter Look-up'!$G$4,$V54-4,0))</f>
        <v/>
      </c>
      <c r="I54" s="206" t="str">
        <f ca="1">IF(ISERROR($V54),"",OFFSET('Smelter Look-up'!$H$4,$V54-4,0))</f>
        <v/>
      </c>
      <c r="J54" s="206" t="str">
        <f ca="1">IF(ISERROR($V54),"",OFFSET('Smelter Look-up'!$I$4,$V54-4,0))</f>
        <v/>
      </c>
      <c r="K54" s="150"/>
      <c r="L54" s="150"/>
      <c r="M54" s="150"/>
      <c r="N54" s="150"/>
      <c r="O54" s="150"/>
      <c r="P54" s="208"/>
      <c r="Q54" s="151"/>
      <c r="R54" s="149" t="str">
        <f ca="1">IF(ISERROR($V54),"",OFFSET('Smelter Look-up'!$C$4,$V54-4,0)&amp;"")</f>
        <v/>
      </c>
      <c r="S54" s="155" t="str">
        <f t="shared" ca="1" si="5"/>
        <v/>
      </c>
      <c r="T54" s="155" t="str">
        <f ca="1">IF(B54="","",IF(ISERROR(MATCH($J54,SorP!$B$1:$B$6226,0)),"",INDIRECT("'SorP'!$A$"&amp;MATCH($S54&amp;$J54,SorP!C:C,0))))</f>
        <v/>
      </c>
      <c r="U54" s="168"/>
      <c r="V54" s="169" t="e">
        <f>IF(C54="",NA(),MATCH($B54&amp;$C54,'Smelter Look-up'!$J:$J,0))</f>
        <v>#N/A</v>
      </c>
      <c r="X54" s="170">
        <f t="shared" ca="1" si="6"/>
        <v>0</v>
      </c>
      <c r="AB54" s="313" t="str">
        <f t="shared" si="7"/>
        <v/>
      </c>
      <c r="AC54" s="170" t="str">
        <f t="shared" si="3"/>
        <v/>
      </c>
      <c r="AD54" s="170" t="str">
        <f t="shared" si="4"/>
        <v/>
      </c>
    </row>
    <row r="55" spans="1:30" s="170" customFormat="1" ht="20.399999999999999">
      <c r="A55" s="155"/>
      <c r="B55" s="303"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5" t="str">
        <f ca="1">IF(ISERROR($V55),"",OFFSET('Smelter Look-up'!$G$4,$V55-4,0))</f>
        <v/>
      </c>
      <c r="I55" s="206" t="str">
        <f ca="1">IF(ISERROR($V55),"",OFFSET('Smelter Look-up'!$H$4,$V55-4,0))</f>
        <v/>
      </c>
      <c r="J55" s="206" t="str">
        <f ca="1">IF(ISERROR($V55),"",OFFSET('Smelter Look-up'!$I$4,$V55-4,0))</f>
        <v/>
      </c>
      <c r="K55" s="150"/>
      <c r="L55" s="150"/>
      <c r="M55" s="150"/>
      <c r="N55" s="150"/>
      <c r="O55" s="150"/>
      <c r="P55" s="208"/>
      <c r="Q55" s="151"/>
      <c r="R55" s="149" t="str">
        <f ca="1">IF(ISERROR($V55),"",OFFSET('Smelter Look-up'!$C$4,$V55-4,0)&amp;"")</f>
        <v/>
      </c>
      <c r="S55" s="155" t="str">
        <f t="shared" ca="1" si="5"/>
        <v/>
      </c>
      <c r="T55" s="155" t="str">
        <f ca="1">IF(B55="","",IF(ISERROR(MATCH($J55,SorP!$B$1:$B$6226,0)),"",INDIRECT("'SorP'!$A$"&amp;MATCH($S55&amp;$J55,SorP!C:C,0))))</f>
        <v/>
      </c>
      <c r="U55" s="168"/>
      <c r="V55" s="169" t="e">
        <f>IF(C55="",NA(),MATCH($B55&amp;$C55,'Smelter Look-up'!$J:$J,0))</f>
        <v>#N/A</v>
      </c>
      <c r="X55" s="170">
        <f t="shared" ca="1" si="6"/>
        <v>0</v>
      </c>
      <c r="AB55" s="313" t="str">
        <f t="shared" si="7"/>
        <v/>
      </c>
      <c r="AC55" s="170" t="str">
        <f t="shared" si="3"/>
        <v/>
      </c>
      <c r="AD55" s="170" t="str">
        <f t="shared" si="4"/>
        <v/>
      </c>
    </row>
    <row r="56" spans="1:30" s="170" customFormat="1" ht="20.399999999999999">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5"/>
        <v/>
      </c>
      <c r="T56" s="155" t="str">
        <f ca="1">IF(B56="","",IF(ISERROR(MATCH($J56,SorP!$B$1:$B$6226,0)),"",INDIRECT("'SorP'!$A$"&amp;MATCH($S56&amp;$J56,SorP!C:C,0))))</f>
        <v/>
      </c>
      <c r="U56" s="168"/>
      <c r="V56" s="169" t="e">
        <f>IF(C56="",NA(),MATCH($B56&amp;$C56,'Smelter Look-up'!$J:$J,0))</f>
        <v>#N/A</v>
      </c>
      <c r="X56" s="170">
        <f t="shared" ca="1" si="6"/>
        <v>0</v>
      </c>
      <c r="AB56" s="313" t="str">
        <f t="shared" si="7"/>
        <v/>
      </c>
      <c r="AC56" s="170" t="str">
        <f t="shared" si="3"/>
        <v/>
      </c>
      <c r="AD56" s="170" t="str">
        <f t="shared" si="4"/>
        <v/>
      </c>
    </row>
    <row r="57" spans="1:30" s="170" customFormat="1" ht="20.399999999999999">
      <c r="A57" s="155"/>
      <c r="B57" s="303"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5"/>
        <v/>
      </c>
      <c r="T57" s="155" t="str">
        <f ca="1">IF(B57="","",IF(ISERROR(MATCH($J57,SorP!$B$1:$B$6226,0)),"",INDIRECT("'SorP'!$A$"&amp;MATCH($S57&amp;$J57,SorP!C:C,0))))</f>
        <v/>
      </c>
      <c r="U57" s="168"/>
      <c r="V57" s="169" t="e">
        <f>IF(C57="",NA(),MATCH($B57&amp;$C57,'Smelter Look-up'!$J:$J,0))</f>
        <v>#N/A</v>
      </c>
      <c r="X57" s="170">
        <f t="shared" ca="1" si="6"/>
        <v>0</v>
      </c>
      <c r="AB57" s="313" t="str">
        <f t="shared" si="7"/>
        <v/>
      </c>
      <c r="AC57" s="170" t="str">
        <f t="shared" si="3"/>
        <v/>
      </c>
      <c r="AD57" s="170" t="str">
        <f t="shared" si="4"/>
        <v/>
      </c>
    </row>
    <row r="58" spans="1:30" s="170" customFormat="1" ht="20.399999999999999">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5"/>
        <v/>
      </c>
      <c r="T58" s="155" t="str">
        <f ca="1">IF(B58="","",IF(ISERROR(MATCH($J58,SorP!$B$1:$B$6226,0)),"",INDIRECT("'SorP'!$A$"&amp;MATCH($S58&amp;$J58,SorP!C:C,0))))</f>
        <v/>
      </c>
      <c r="U58" s="168"/>
      <c r="V58" s="169" t="e">
        <f>IF(C58="",NA(),MATCH($B58&amp;$C58,'Smelter Look-up'!$J:$J,0))</f>
        <v>#N/A</v>
      </c>
      <c r="X58" s="170">
        <f t="shared" ca="1" si="6"/>
        <v>0</v>
      </c>
      <c r="AB58" s="313" t="str">
        <f t="shared" si="7"/>
        <v/>
      </c>
      <c r="AC58" s="170" t="str">
        <f t="shared" si="3"/>
        <v/>
      </c>
      <c r="AD58" s="170" t="str">
        <f t="shared" si="4"/>
        <v/>
      </c>
    </row>
    <row r="59" spans="1:30" s="170" customFormat="1" ht="20.399999999999999">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5"/>
        <v/>
      </c>
      <c r="T59" s="155" t="str">
        <f ca="1">IF(B59="","",IF(ISERROR(MATCH($J59,SorP!$B$1:$B$6226,0)),"",INDIRECT("'SorP'!$A$"&amp;MATCH($S59&amp;$J59,SorP!C:C,0))))</f>
        <v/>
      </c>
      <c r="U59" s="168"/>
      <c r="V59" s="169" t="e">
        <f>IF(C59="",NA(),MATCH($B59&amp;$C59,'Smelter Look-up'!$J:$J,0))</f>
        <v>#N/A</v>
      </c>
      <c r="X59" s="170">
        <f t="shared" ca="1" si="6"/>
        <v>0</v>
      </c>
      <c r="AB59" s="313" t="str">
        <f t="shared" si="7"/>
        <v/>
      </c>
      <c r="AC59" s="170" t="str">
        <f t="shared" si="3"/>
        <v/>
      </c>
      <c r="AD59" s="170" t="str">
        <f t="shared" si="4"/>
        <v/>
      </c>
    </row>
    <row r="60" spans="1:30" s="170" customFormat="1" ht="20.399999999999999">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5"/>
        <v/>
      </c>
      <c r="T60" s="155" t="str">
        <f ca="1">IF(B60="","",IF(ISERROR(MATCH($J60,SorP!$B$1:$B$6226,0)),"",INDIRECT("'SorP'!$A$"&amp;MATCH($S60&amp;$J60,SorP!C:C,0))))</f>
        <v/>
      </c>
      <c r="U60" s="168"/>
      <c r="V60" s="169" t="e">
        <f>IF(C60="",NA(),MATCH($B60&amp;$C60,'Smelter Look-up'!$J:$J,0))</f>
        <v>#N/A</v>
      </c>
      <c r="X60" s="170">
        <f t="shared" ca="1" si="6"/>
        <v>0</v>
      </c>
      <c r="AB60" s="313" t="str">
        <f t="shared" si="7"/>
        <v/>
      </c>
      <c r="AC60" s="170" t="str">
        <f t="shared" si="3"/>
        <v/>
      </c>
      <c r="AD60" s="170" t="str">
        <f t="shared" si="4"/>
        <v/>
      </c>
    </row>
    <row r="61" spans="1:30" s="170" customFormat="1" ht="20.399999999999999">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5"/>
        <v/>
      </c>
      <c r="T61" s="155" t="str">
        <f ca="1">IF(B61="","",IF(ISERROR(MATCH($J61,SorP!$B$1:$B$6226,0)),"",INDIRECT("'SorP'!$A$"&amp;MATCH($S61&amp;$J61,SorP!C:C,0))))</f>
        <v/>
      </c>
      <c r="U61" s="168"/>
      <c r="V61" s="169" t="e">
        <f>IF(C61="",NA(),MATCH($B61&amp;$C61,'Smelter Look-up'!$J:$J,0))</f>
        <v>#N/A</v>
      </c>
      <c r="X61" s="170">
        <f t="shared" ca="1" si="6"/>
        <v>0</v>
      </c>
      <c r="AB61" s="313" t="str">
        <f t="shared" si="7"/>
        <v/>
      </c>
      <c r="AC61" s="170" t="str">
        <f t="shared" si="3"/>
        <v/>
      </c>
      <c r="AD61" s="170" t="str">
        <f t="shared" si="4"/>
        <v/>
      </c>
    </row>
    <row r="62" spans="1:30" s="170" customFormat="1" ht="20.399999999999999">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5"/>
        <v/>
      </c>
      <c r="T62" s="155" t="str">
        <f ca="1">IF(B62="","",IF(ISERROR(MATCH($J62,SorP!$B$1:$B$6226,0)),"",INDIRECT("'SorP'!$A$"&amp;MATCH($S62&amp;$J62,SorP!C:C,0))))</f>
        <v/>
      </c>
      <c r="U62" s="168"/>
      <c r="V62" s="169" t="e">
        <f>IF(C62="",NA(),MATCH($B62&amp;$C62,'Smelter Look-up'!$J:$J,0))</f>
        <v>#N/A</v>
      </c>
      <c r="X62" s="170">
        <f t="shared" ca="1" si="6"/>
        <v>0</v>
      </c>
      <c r="AB62" s="313" t="str">
        <f t="shared" si="7"/>
        <v/>
      </c>
      <c r="AC62" s="170" t="str">
        <f t="shared" si="3"/>
        <v/>
      </c>
      <c r="AD62" s="170" t="str">
        <f t="shared" si="4"/>
        <v/>
      </c>
    </row>
    <row r="63" spans="1:30" s="170" customFormat="1" ht="20.399999999999999">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5"/>
        <v/>
      </c>
      <c r="T63" s="155" t="str">
        <f ca="1">IF(B63="","",IF(ISERROR(MATCH($J63,SorP!$B$1:$B$6226,0)),"",INDIRECT("'SorP'!$A$"&amp;MATCH($S63&amp;$J63,SorP!C:C,0))))</f>
        <v/>
      </c>
      <c r="U63" s="168"/>
      <c r="V63" s="169" t="e">
        <f>IF(C63="",NA(),MATCH($B63&amp;$C63,'Smelter Look-up'!$J:$J,0))</f>
        <v>#N/A</v>
      </c>
      <c r="X63" s="170">
        <f t="shared" ref="X63:X126" ca="1" si="8">IF(AND(C63="Smelter not listed",OR(LEN(D63)=0,LEN(E63)=0)),1,0)</f>
        <v>0</v>
      </c>
      <c r="AB63" s="313" t="str">
        <f t="shared" si="7"/>
        <v/>
      </c>
      <c r="AC63" s="170" t="str">
        <f t="shared" si="3"/>
        <v/>
      </c>
      <c r="AD63" s="170" t="str">
        <f t="shared" si="4"/>
        <v/>
      </c>
    </row>
    <row r="64" spans="1:30" s="170" customFormat="1" ht="20.399999999999999">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ref="S64:S127" ca="1" si="9">IF(B64="","",IF(ISERROR(MATCH($E64,CL,0)),"Unknown",INDIRECT("'C'!$A$"&amp;MATCH($E64,CL,0)+1)))</f>
        <v/>
      </c>
      <c r="T64" s="155" t="str">
        <f ca="1">IF(B64="","",IF(ISERROR(MATCH($J64,SorP!$B$1:$B$6226,0)),"",INDIRECT("'SorP'!$A$"&amp;MATCH($S64&amp;$J64,SorP!C:C,0))))</f>
        <v/>
      </c>
      <c r="U64" s="168"/>
      <c r="V64" s="169" t="e">
        <f>IF(C64="",NA(),MATCH($B64&amp;$C64,'Smelter Look-up'!$J:$J,0))</f>
        <v>#N/A</v>
      </c>
      <c r="X64" s="170">
        <f t="shared" ca="1" si="8"/>
        <v>0</v>
      </c>
      <c r="AB64" s="313" t="str">
        <f t="shared" si="7"/>
        <v/>
      </c>
      <c r="AC64" s="170" t="str">
        <f t="shared" si="3"/>
        <v/>
      </c>
      <c r="AD64" s="170" t="str">
        <f t="shared" si="4"/>
        <v/>
      </c>
    </row>
    <row r="65" spans="1:30" s="170" customFormat="1" ht="20.399999999999999">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9"/>
        <v/>
      </c>
      <c r="T65" s="155" t="str">
        <f ca="1">IF(B65="","",IF(ISERROR(MATCH($J65,SorP!$B$1:$B$6226,0)),"",INDIRECT("'SorP'!$A$"&amp;MATCH($S65&amp;$J65,SorP!C:C,0))))</f>
        <v/>
      </c>
      <c r="U65" s="168"/>
      <c r="V65" s="169" t="e">
        <f>IF(C65="",NA(),MATCH($B65&amp;$C65,'Smelter Look-up'!$J:$J,0))</f>
        <v>#N/A</v>
      </c>
      <c r="X65" s="170">
        <f t="shared" ca="1" si="8"/>
        <v>0</v>
      </c>
      <c r="AB65" s="313" t="str">
        <f t="shared" si="7"/>
        <v/>
      </c>
      <c r="AC65" s="170" t="str">
        <f t="shared" si="3"/>
        <v/>
      </c>
      <c r="AD65" s="170" t="str">
        <f t="shared" si="4"/>
        <v/>
      </c>
    </row>
    <row r="66" spans="1:30" s="170" customFormat="1" ht="20.399999999999999">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9"/>
        <v/>
      </c>
      <c r="T66" s="155" t="str">
        <f ca="1">IF(B66="","",IF(ISERROR(MATCH($J66,SorP!$B$1:$B$6226,0)),"",INDIRECT("'SorP'!$A$"&amp;MATCH($S66&amp;$J66,SorP!C:C,0))))</f>
        <v/>
      </c>
      <c r="U66" s="168"/>
      <c r="V66" s="169" t="e">
        <f>IF(C66="",NA(),MATCH($B66&amp;$C66,'Smelter Look-up'!$J:$J,0))</f>
        <v>#N/A</v>
      </c>
      <c r="X66" s="170">
        <f t="shared" ca="1" si="8"/>
        <v>0</v>
      </c>
      <c r="AB66" s="313" t="str">
        <f t="shared" si="7"/>
        <v/>
      </c>
      <c r="AC66" s="170" t="str">
        <f t="shared" si="3"/>
        <v/>
      </c>
      <c r="AD66" s="170" t="str">
        <f t="shared" si="4"/>
        <v/>
      </c>
    </row>
    <row r="67" spans="1:30" s="170" customFormat="1" ht="20.399999999999999">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9"/>
        <v/>
      </c>
      <c r="T67" s="155" t="str">
        <f ca="1">IF(B67="","",IF(ISERROR(MATCH($J67,SorP!$B$1:$B$6226,0)),"",INDIRECT("'SorP'!$A$"&amp;MATCH($S67&amp;$J67,SorP!C:C,0))))</f>
        <v/>
      </c>
      <c r="U67" s="168"/>
      <c r="V67" s="169" t="e">
        <f>IF(C67="",NA(),MATCH($B67&amp;$C67,'Smelter Look-up'!$J:$J,0))</f>
        <v>#N/A</v>
      </c>
      <c r="X67" s="170">
        <f t="shared" ca="1" si="8"/>
        <v>0</v>
      </c>
      <c r="AB67" s="313" t="str">
        <f t="shared" si="7"/>
        <v/>
      </c>
      <c r="AC67" s="170" t="str">
        <f t="shared" si="3"/>
        <v/>
      </c>
      <c r="AD67" s="170" t="str">
        <f t="shared" si="4"/>
        <v/>
      </c>
    </row>
    <row r="68" spans="1:30" s="170" customFormat="1" ht="20.399999999999999">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9"/>
        <v/>
      </c>
      <c r="T68" s="155" t="str">
        <f ca="1">IF(B68="","",IF(ISERROR(MATCH($J68,SorP!$B$1:$B$6226,0)),"",INDIRECT("'SorP'!$A$"&amp;MATCH($S68&amp;$J68,SorP!C:C,0))))</f>
        <v/>
      </c>
      <c r="U68" s="168"/>
      <c r="V68" s="169" t="e">
        <f>IF(C68="",NA(),MATCH($B68&amp;$C68,'Smelter Look-up'!$J:$J,0))</f>
        <v>#N/A</v>
      </c>
      <c r="X68" s="170">
        <f t="shared" ca="1" si="8"/>
        <v>0</v>
      </c>
      <c r="AB68" s="313" t="str">
        <f t="shared" si="7"/>
        <v/>
      </c>
      <c r="AC68" s="170" t="str">
        <f t="shared" si="3"/>
        <v/>
      </c>
      <c r="AD68" s="170" t="str">
        <f t="shared" si="4"/>
        <v/>
      </c>
    </row>
    <row r="69" spans="1:30" s="170" customFormat="1" ht="20.399999999999999">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9"/>
        <v/>
      </c>
      <c r="T69" s="155" t="str">
        <f ca="1">IF(B69="","",IF(ISERROR(MATCH($J69,SorP!$B$1:$B$6226,0)),"",INDIRECT("'SorP'!$A$"&amp;MATCH($S69&amp;$J69,SorP!C:C,0))))</f>
        <v/>
      </c>
      <c r="U69" s="168"/>
      <c r="V69" s="169" t="e">
        <f>IF(C69="",NA(),MATCH($B69&amp;$C69,'Smelter Look-up'!$J:$J,0))</f>
        <v>#N/A</v>
      </c>
      <c r="X69" s="170">
        <f t="shared" ca="1" si="8"/>
        <v>0</v>
      </c>
      <c r="AB69" s="313" t="str">
        <f t="shared" si="7"/>
        <v/>
      </c>
      <c r="AC69" s="170" t="str">
        <f t="shared" si="3"/>
        <v/>
      </c>
      <c r="AD69" s="170" t="str">
        <f t="shared" si="4"/>
        <v/>
      </c>
    </row>
    <row r="70" spans="1:30" s="170" customFormat="1" ht="20.399999999999999">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9"/>
        <v/>
      </c>
      <c r="T70" s="155" t="str">
        <f ca="1">IF(B70="","",IF(ISERROR(MATCH($J70,SorP!$B$1:$B$6226,0)),"",INDIRECT("'SorP'!$A$"&amp;MATCH($S70&amp;$J70,SorP!C:C,0))))</f>
        <v/>
      </c>
      <c r="U70" s="168"/>
      <c r="V70" s="169" t="e">
        <f>IF(C70="",NA(),MATCH($B70&amp;$C70,'Smelter Look-up'!$J:$J,0))</f>
        <v>#N/A</v>
      </c>
      <c r="X70" s="170">
        <f t="shared" ca="1" si="8"/>
        <v>0</v>
      </c>
      <c r="AB70" s="313" t="str">
        <f t="shared" ref="AB70:AB133" si="10">IF(C70="","",B70)</f>
        <v/>
      </c>
      <c r="AC70" s="170" t="str">
        <f t="shared" ref="AC70:AC133" si="11">B70</f>
        <v/>
      </c>
      <c r="AD70" s="170" t="str">
        <f t="shared" ref="AD70:AD133" si="12">IF(C70="Smelter not listed",D70,C70)</f>
        <v/>
      </c>
    </row>
    <row r="71" spans="1:30" s="170" customFormat="1" ht="20.399999999999999">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9"/>
        <v/>
      </c>
      <c r="T71" s="155" t="str">
        <f ca="1">IF(B71="","",IF(ISERROR(MATCH($J71,SorP!$B$1:$B$6226,0)),"",INDIRECT("'SorP'!$A$"&amp;MATCH($S71&amp;$J71,SorP!C:C,0))))</f>
        <v/>
      </c>
      <c r="U71" s="168"/>
      <c r="V71" s="169" t="e">
        <f>IF(C71="",NA(),MATCH($B71&amp;$C71,'Smelter Look-up'!$J:$J,0))</f>
        <v>#N/A</v>
      </c>
      <c r="X71" s="170">
        <f t="shared" ca="1" si="8"/>
        <v>0</v>
      </c>
      <c r="AB71" s="313" t="str">
        <f t="shared" si="10"/>
        <v/>
      </c>
      <c r="AC71" s="170" t="str">
        <f t="shared" si="11"/>
        <v/>
      </c>
      <c r="AD71" s="170" t="str">
        <f t="shared" si="12"/>
        <v/>
      </c>
    </row>
    <row r="72" spans="1:30" s="170" customFormat="1" ht="20.399999999999999">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9"/>
        <v/>
      </c>
      <c r="T72" s="155" t="str">
        <f ca="1">IF(B72="","",IF(ISERROR(MATCH($J72,SorP!$B$1:$B$6226,0)),"",INDIRECT("'SorP'!$A$"&amp;MATCH($S72&amp;$J72,SorP!C:C,0))))</f>
        <v/>
      </c>
      <c r="U72" s="168"/>
      <c r="V72" s="169" t="e">
        <f>IF(C72="",NA(),MATCH($B72&amp;$C72,'Smelter Look-up'!$J:$J,0))</f>
        <v>#N/A</v>
      </c>
      <c r="X72" s="170">
        <f t="shared" ca="1" si="8"/>
        <v>0</v>
      </c>
      <c r="AB72" s="313" t="str">
        <f t="shared" si="10"/>
        <v/>
      </c>
      <c r="AC72" s="170" t="str">
        <f t="shared" si="11"/>
        <v/>
      </c>
      <c r="AD72" s="170" t="str">
        <f t="shared" si="12"/>
        <v/>
      </c>
    </row>
    <row r="73" spans="1:30" s="170" customFormat="1" ht="20.399999999999999">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9"/>
        <v/>
      </c>
      <c r="T73" s="155" t="str">
        <f ca="1">IF(B73="","",IF(ISERROR(MATCH($J73,SorP!$B$1:$B$6226,0)),"",INDIRECT("'SorP'!$A$"&amp;MATCH($S73&amp;$J73,SorP!C:C,0))))</f>
        <v/>
      </c>
      <c r="U73" s="168"/>
      <c r="V73" s="169" t="e">
        <f>IF(C73="",NA(),MATCH($B73&amp;$C73,'Smelter Look-up'!$J:$J,0))</f>
        <v>#N/A</v>
      </c>
      <c r="X73" s="170">
        <f t="shared" ca="1" si="8"/>
        <v>0</v>
      </c>
      <c r="AB73" s="313" t="str">
        <f t="shared" si="10"/>
        <v/>
      </c>
      <c r="AC73" s="170" t="str">
        <f t="shared" si="11"/>
        <v/>
      </c>
      <c r="AD73" s="170" t="str">
        <f t="shared" si="12"/>
        <v/>
      </c>
    </row>
    <row r="74" spans="1:30" s="170" customFormat="1" ht="20.399999999999999">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9"/>
        <v/>
      </c>
      <c r="T74" s="155" t="str">
        <f ca="1">IF(B74="","",IF(ISERROR(MATCH($J74,SorP!$B$1:$B$6226,0)),"",INDIRECT("'SorP'!$A$"&amp;MATCH($S74&amp;$J74,SorP!C:C,0))))</f>
        <v/>
      </c>
      <c r="U74" s="168"/>
      <c r="V74" s="169" t="e">
        <f>IF(C74="",NA(),MATCH($B74&amp;$C74,'Smelter Look-up'!$J:$J,0))</f>
        <v>#N/A</v>
      </c>
      <c r="X74" s="170">
        <f t="shared" ca="1" si="8"/>
        <v>0</v>
      </c>
      <c r="AB74" s="313" t="str">
        <f t="shared" si="10"/>
        <v/>
      </c>
      <c r="AC74" s="170" t="str">
        <f t="shared" si="11"/>
        <v/>
      </c>
      <c r="AD74" s="170" t="str">
        <f t="shared" si="12"/>
        <v/>
      </c>
    </row>
    <row r="75" spans="1:30" s="170" customFormat="1" ht="20.399999999999999">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9"/>
        <v/>
      </c>
      <c r="T75" s="155" t="str">
        <f ca="1">IF(B75="","",IF(ISERROR(MATCH($J75,SorP!$B$1:$B$6226,0)),"",INDIRECT("'SorP'!$A$"&amp;MATCH($S75&amp;$J75,SorP!C:C,0))))</f>
        <v/>
      </c>
      <c r="U75" s="168"/>
      <c r="V75" s="169" t="e">
        <f>IF(C75="",NA(),MATCH($B75&amp;$C75,'Smelter Look-up'!$J:$J,0))</f>
        <v>#N/A</v>
      </c>
      <c r="X75" s="170">
        <f t="shared" ca="1" si="8"/>
        <v>0</v>
      </c>
      <c r="AB75" s="313" t="str">
        <f t="shared" si="10"/>
        <v/>
      </c>
      <c r="AC75" s="170" t="str">
        <f t="shared" si="11"/>
        <v/>
      </c>
      <c r="AD75" s="170" t="str">
        <f t="shared" si="12"/>
        <v/>
      </c>
    </row>
    <row r="76" spans="1:30" s="170" customFormat="1" ht="20.399999999999999">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9"/>
        <v/>
      </c>
      <c r="T76" s="155" t="str">
        <f ca="1">IF(B76="","",IF(ISERROR(MATCH($J76,SorP!$B$1:$B$6226,0)),"",INDIRECT("'SorP'!$A$"&amp;MATCH($S76&amp;$J76,SorP!C:C,0))))</f>
        <v/>
      </c>
      <c r="U76" s="168"/>
      <c r="V76" s="169" t="e">
        <f>IF(C76="",NA(),MATCH($B76&amp;$C76,'Smelter Look-up'!$J:$J,0))</f>
        <v>#N/A</v>
      </c>
      <c r="X76" s="170">
        <f t="shared" ca="1" si="8"/>
        <v>0</v>
      </c>
      <c r="AB76" s="313" t="str">
        <f t="shared" si="10"/>
        <v/>
      </c>
      <c r="AC76" s="170" t="str">
        <f t="shared" si="11"/>
        <v/>
      </c>
      <c r="AD76" s="170" t="str">
        <f t="shared" si="12"/>
        <v/>
      </c>
    </row>
    <row r="77" spans="1:30" s="170" customFormat="1" ht="20.399999999999999">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9"/>
        <v/>
      </c>
      <c r="T77" s="155" t="str">
        <f ca="1">IF(B77="","",IF(ISERROR(MATCH($J77,SorP!$B$1:$B$6226,0)),"",INDIRECT("'SorP'!$A$"&amp;MATCH($S77&amp;$J77,SorP!C:C,0))))</f>
        <v/>
      </c>
      <c r="U77" s="168"/>
      <c r="V77" s="169" t="e">
        <f>IF(C77="",NA(),MATCH($B77&amp;$C77,'Smelter Look-up'!$J:$J,0))</f>
        <v>#N/A</v>
      </c>
      <c r="X77" s="170">
        <f t="shared" ca="1" si="8"/>
        <v>0</v>
      </c>
      <c r="AB77" s="313" t="str">
        <f t="shared" si="10"/>
        <v/>
      </c>
      <c r="AC77" s="170" t="str">
        <f t="shared" si="11"/>
        <v/>
      </c>
      <c r="AD77" s="170" t="str">
        <f t="shared" si="12"/>
        <v/>
      </c>
    </row>
    <row r="78" spans="1:30" s="170" customFormat="1" ht="20.399999999999999">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9"/>
        <v/>
      </c>
      <c r="T78" s="155" t="str">
        <f ca="1">IF(B78="","",IF(ISERROR(MATCH($J78,SorP!$B$1:$B$6226,0)),"",INDIRECT("'SorP'!$A$"&amp;MATCH($S78&amp;$J78,SorP!C:C,0))))</f>
        <v/>
      </c>
      <c r="U78" s="168"/>
      <c r="V78" s="169" t="e">
        <f>IF(C78="",NA(),MATCH($B78&amp;$C78,'Smelter Look-up'!$J:$J,0))</f>
        <v>#N/A</v>
      </c>
      <c r="X78" s="170">
        <f t="shared" ca="1" si="8"/>
        <v>0</v>
      </c>
      <c r="AB78" s="313" t="str">
        <f t="shared" si="10"/>
        <v/>
      </c>
      <c r="AC78" s="170" t="str">
        <f t="shared" si="11"/>
        <v/>
      </c>
      <c r="AD78" s="170" t="str">
        <f t="shared" si="12"/>
        <v/>
      </c>
    </row>
    <row r="79" spans="1:30" s="170" customFormat="1" ht="20.399999999999999">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9"/>
        <v/>
      </c>
      <c r="T79" s="155" t="str">
        <f ca="1">IF(B79="","",IF(ISERROR(MATCH($J79,SorP!$B$1:$B$6226,0)),"",INDIRECT("'SorP'!$A$"&amp;MATCH($S79&amp;$J79,SorP!C:C,0))))</f>
        <v/>
      </c>
      <c r="U79" s="168"/>
      <c r="V79" s="169" t="e">
        <f>IF(C79="",NA(),MATCH($B79&amp;$C79,'Smelter Look-up'!$J:$J,0))</f>
        <v>#N/A</v>
      </c>
      <c r="X79" s="170">
        <f t="shared" ca="1" si="8"/>
        <v>0</v>
      </c>
      <c r="AB79" s="313" t="str">
        <f t="shared" si="10"/>
        <v/>
      </c>
      <c r="AC79" s="170" t="str">
        <f t="shared" si="11"/>
        <v/>
      </c>
      <c r="AD79" s="170" t="str">
        <f t="shared" si="12"/>
        <v/>
      </c>
    </row>
    <row r="80" spans="1:30" s="170" customFormat="1" ht="20.399999999999999">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9"/>
        <v/>
      </c>
      <c r="T80" s="155" t="str">
        <f ca="1">IF(B80="","",IF(ISERROR(MATCH($J80,SorP!$B$1:$B$6226,0)),"",INDIRECT("'SorP'!$A$"&amp;MATCH($S80&amp;$J80,SorP!C:C,0))))</f>
        <v/>
      </c>
      <c r="U80" s="168"/>
      <c r="V80" s="169" t="e">
        <f>IF(C80="",NA(),MATCH($B80&amp;$C80,'Smelter Look-up'!$J:$J,0))</f>
        <v>#N/A</v>
      </c>
      <c r="X80" s="170">
        <f t="shared" ca="1" si="8"/>
        <v>0</v>
      </c>
      <c r="AB80" s="313" t="str">
        <f t="shared" si="10"/>
        <v/>
      </c>
      <c r="AC80" s="170" t="str">
        <f t="shared" si="11"/>
        <v/>
      </c>
      <c r="AD80" s="170" t="str">
        <f t="shared" si="12"/>
        <v/>
      </c>
    </row>
    <row r="81" spans="1:30" s="170" customFormat="1" ht="20.399999999999999">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9"/>
        <v/>
      </c>
      <c r="T81" s="155" t="str">
        <f ca="1">IF(B81="","",IF(ISERROR(MATCH($J81,SorP!$B$1:$B$6226,0)),"",INDIRECT("'SorP'!$A$"&amp;MATCH($S81&amp;$J81,SorP!C:C,0))))</f>
        <v/>
      </c>
      <c r="U81" s="168"/>
      <c r="V81" s="169" t="e">
        <f>IF(C81="",NA(),MATCH($B81&amp;$C81,'Smelter Look-up'!$J:$J,0))</f>
        <v>#N/A</v>
      </c>
      <c r="X81" s="170">
        <f t="shared" ca="1" si="8"/>
        <v>0</v>
      </c>
      <c r="AB81" s="313" t="str">
        <f t="shared" si="10"/>
        <v/>
      </c>
      <c r="AC81" s="170" t="str">
        <f t="shared" si="11"/>
        <v/>
      </c>
      <c r="AD81" s="170" t="str">
        <f t="shared" si="12"/>
        <v/>
      </c>
    </row>
    <row r="82" spans="1:30" s="170" customFormat="1" ht="20.399999999999999">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9"/>
        <v/>
      </c>
      <c r="T82" s="155" t="str">
        <f ca="1">IF(B82="","",IF(ISERROR(MATCH($J82,SorP!$B$1:$B$6226,0)),"",INDIRECT("'SorP'!$A$"&amp;MATCH($S82&amp;$J82,SorP!C:C,0))))</f>
        <v/>
      </c>
      <c r="U82" s="168"/>
      <c r="V82" s="169" t="e">
        <f>IF(C82="",NA(),MATCH($B82&amp;$C82,'Smelter Look-up'!$J:$J,0))</f>
        <v>#N/A</v>
      </c>
      <c r="X82" s="170">
        <f t="shared" ca="1" si="8"/>
        <v>0</v>
      </c>
      <c r="AB82" s="313" t="str">
        <f t="shared" si="10"/>
        <v/>
      </c>
      <c r="AC82" s="170" t="str">
        <f t="shared" si="11"/>
        <v/>
      </c>
      <c r="AD82" s="170" t="str">
        <f t="shared" si="12"/>
        <v/>
      </c>
    </row>
    <row r="83" spans="1:30" s="170" customFormat="1" ht="20.399999999999999">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9"/>
        <v/>
      </c>
      <c r="T83" s="155" t="str">
        <f ca="1">IF(B83="","",IF(ISERROR(MATCH($J83,SorP!$B$1:$B$6226,0)),"",INDIRECT("'SorP'!$A$"&amp;MATCH($S83&amp;$J83,SorP!C:C,0))))</f>
        <v/>
      </c>
      <c r="U83" s="168"/>
      <c r="V83" s="169" t="e">
        <f>IF(C83="",NA(),MATCH($B83&amp;$C83,'Smelter Look-up'!$J:$J,0))</f>
        <v>#N/A</v>
      </c>
      <c r="X83" s="170">
        <f t="shared" ca="1" si="8"/>
        <v>0</v>
      </c>
      <c r="AB83" s="313" t="str">
        <f t="shared" si="10"/>
        <v/>
      </c>
      <c r="AC83" s="170" t="str">
        <f t="shared" si="11"/>
        <v/>
      </c>
      <c r="AD83" s="170" t="str">
        <f t="shared" si="12"/>
        <v/>
      </c>
    </row>
    <row r="84" spans="1:30" s="170" customFormat="1" ht="20.399999999999999">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9"/>
        <v/>
      </c>
      <c r="T84" s="155" t="str">
        <f ca="1">IF(B84="","",IF(ISERROR(MATCH($J84,SorP!$B$1:$B$6226,0)),"",INDIRECT("'SorP'!$A$"&amp;MATCH($S84&amp;$J84,SorP!C:C,0))))</f>
        <v/>
      </c>
      <c r="U84" s="168"/>
      <c r="V84" s="169" t="e">
        <f>IF(C84="",NA(),MATCH($B84&amp;$C84,'Smelter Look-up'!$J:$J,0))</f>
        <v>#N/A</v>
      </c>
      <c r="X84" s="170">
        <f t="shared" ca="1" si="8"/>
        <v>0</v>
      </c>
      <c r="AB84" s="313" t="str">
        <f t="shared" si="10"/>
        <v/>
      </c>
      <c r="AC84" s="170" t="str">
        <f t="shared" si="11"/>
        <v/>
      </c>
      <c r="AD84" s="170" t="str">
        <f t="shared" si="12"/>
        <v/>
      </c>
    </row>
    <row r="85" spans="1:30" s="170" customFormat="1" ht="20.399999999999999">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9"/>
        <v/>
      </c>
      <c r="T85" s="155" t="str">
        <f ca="1">IF(B85="","",IF(ISERROR(MATCH($J85,SorP!$B$1:$B$6226,0)),"",INDIRECT("'SorP'!$A$"&amp;MATCH($S85&amp;$J85,SorP!C:C,0))))</f>
        <v/>
      </c>
      <c r="U85" s="168"/>
      <c r="V85" s="169" t="e">
        <f>IF(C85="",NA(),MATCH($B85&amp;$C85,'Smelter Look-up'!$J:$J,0))</f>
        <v>#N/A</v>
      </c>
      <c r="X85" s="170">
        <f t="shared" ca="1" si="8"/>
        <v>0</v>
      </c>
      <c r="AB85" s="313" t="str">
        <f t="shared" si="10"/>
        <v/>
      </c>
      <c r="AC85" s="170" t="str">
        <f t="shared" si="11"/>
        <v/>
      </c>
      <c r="AD85" s="170" t="str">
        <f t="shared" si="12"/>
        <v/>
      </c>
    </row>
    <row r="86" spans="1:30" s="170" customFormat="1" ht="20.399999999999999">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9"/>
        <v/>
      </c>
      <c r="T86" s="155" t="str">
        <f ca="1">IF(B86="","",IF(ISERROR(MATCH($J86,SorP!$B$1:$B$6226,0)),"",INDIRECT("'SorP'!$A$"&amp;MATCH($S86&amp;$J86,SorP!C:C,0))))</f>
        <v/>
      </c>
      <c r="U86" s="168"/>
      <c r="V86" s="169" t="e">
        <f>IF(C86="",NA(),MATCH($B86&amp;$C86,'Smelter Look-up'!$J:$J,0))</f>
        <v>#N/A</v>
      </c>
      <c r="X86" s="170">
        <f t="shared" ca="1" si="8"/>
        <v>0</v>
      </c>
      <c r="AB86" s="313" t="str">
        <f t="shared" si="10"/>
        <v/>
      </c>
      <c r="AC86" s="170" t="str">
        <f t="shared" si="11"/>
        <v/>
      </c>
      <c r="AD86" s="170" t="str">
        <f t="shared" si="12"/>
        <v/>
      </c>
    </row>
    <row r="87" spans="1:30" s="170" customFormat="1" ht="20.399999999999999">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9"/>
        <v/>
      </c>
      <c r="T87" s="155" t="str">
        <f ca="1">IF(B87="","",IF(ISERROR(MATCH($J87,SorP!$B$1:$B$6226,0)),"",INDIRECT("'SorP'!$A$"&amp;MATCH($S87&amp;$J87,SorP!C:C,0))))</f>
        <v/>
      </c>
      <c r="U87" s="168"/>
      <c r="V87" s="169" t="e">
        <f>IF(C87="",NA(),MATCH($B87&amp;$C87,'Smelter Look-up'!$J:$J,0))</f>
        <v>#N/A</v>
      </c>
      <c r="X87" s="170">
        <f t="shared" ca="1" si="8"/>
        <v>0</v>
      </c>
      <c r="AB87" s="313" t="str">
        <f t="shared" si="10"/>
        <v/>
      </c>
      <c r="AC87" s="170" t="str">
        <f t="shared" si="11"/>
        <v/>
      </c>
      <c r="AD87" s="170" t="str">
        <f t="shared" si="12"/>
        <v/>
      </c>
    </row>
    <row r="88" spans="1:30" s="170" customFormat="1" ht="20.399999999999999">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9"/>
        <v/>
      </c>
      <c r="T88" s="155" t="str">
        <f ca="1">IF(B88="","",IF(ISERROR(MATCH($J88,SorP!$B$1:$B$6226,0)),"",INDIRECT("'SorP'!$A$"&amp;MATCH($S88&amp;$J88,SorP!C:C,0))))</f>
        <v/>
      </c>
      <c r="U88" s="168"/>
      <c r="V88" s="169" t="e">
        <f>IF(C88="",NA(),MATCH($B88&amp;$C88,'Smelter Look-up'!$J:$J,0))</f>
        <v>#N/A</v>
      </c>
      <c r="X88" s="170">
        <f t="shared" ca="1" si="8"/>
        <v>0</v>
      </c>
      <c r="AB88" s="313" t="str">
        <f t="shared" si="10"/>
        <v/>
      </c>
      <c r="AC88" s="170" t="str">
        <f t="shared" si="11"/>
        <v/>
      </c>
      <c r="AD88" s="170" t="str">
        <f t="shared" si="12"/>
        <v/>
      </c>
    </row>
    <row r="89" spans="1:30" s="170" customFormat="1" ht="20.399999999999999">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9"/>
        <v/>
      </c>
      <c r="T89" s="155" t="str">
        <f ca="1">IF(B89="","",IF(ISERROR(MATCH($J89,SorP!$B$1:$B$6226,0)),"",INDIRECT("'SorP'!$A$"&amp;MATCH($S89&amp;$J89,SorP!C:C,0))))</f>
        <v/>
      </c>
      <c r="U89" s="168"/>
      <c r="V89" s="169" t="e">
        <f>IF(C89="",NA(),MATCH($B89&amp;$C89,'Smelter Look-up'!$J:$J,0))</f>
        <v>#N/A</v>
      </c>
      <c r="X89" s="170">
        <f t="shared" ca="1" si="8"/>
        <v>0</v>
      </c>
      <c r="AB89" s="313" t="str">
        <f t="shared" si="10"/>
        <v/>
      </c>
      <c r="AC89" s="170" t="str">
        <f t="shared" si="11"/>
        <v/>
      </c>
      <c r="AD89" s="170" t="str">
        <f t="shared" si="12"/>
        <v/>
      </c>
    </row>
    <row r="90" spans="1:30" s="170" customFormat="1" ht="20.399999999999999">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9"/>
        <v/>
      </c>
      <c r="T90" s="155" t="str">
        <f ca="1">IF(B90="","",IF(ISERROR(MATCH($J90,SorP!$B$1:$B$6226,0)),"",INDIRECT("'SorP'!$A$"&amp;MATCH($S90&amp;$J90,SorP!C:C,0))))</f>
        <v/>
      </c>
      <c r="U90" s="168"/>
      <c r="V90" s="169" t="e">
        <f>IF(C90="",NA(),MATCH($B90&amp;$C90,'Smelter Look-up'!$J:$J,0))</f>
        <v>#N/A</v>
      </c>
      <c r="X90" s="170">
        <f t="shared" ca="1" si="8"/>
        <v>0</v>
      </c>
      <c r="AB90" s="313" t="str">
        <f t="shared" si="10"/>
        <v/>
      </c>
      <c r="AC90" s="170" t="str">
        <f t="shared" si="11"/>
        <v/>
      </c>
      <c r="AD90" s="170" t="str">
        <f t="shared" si="12"/>
        <v/>
      </c>
    </row>
    <row r="91" spans="1:30" s="170" customFormat="1" ht="20.399999999999999">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9"/>
        <v/>
      </c>
      <c r="T91" s="155" t="str">
        <f ca="1">IF(B91="","",IF(ISERROR(MATCH($J91,SorP!$B$1:$B$6226,0)),"",INDIRECT("'SorP'!$A$"&amp;MATCH($S91&amp;$J91,SorP!C:C,0))))</f>
        <v/>
      </c>
      <c r="U91" s="168"/>
      <c r="V91" s="169" t="e">
        <f>IF(C91="",NA(),MATCH($B91&amp;$C91,'Smelter Look-up'!$J:$J,0))</f>
        <v>#N/A</v>
      </c>
      <c r="X91" s="170">
        <f t="shared" ca="1" si="8"/>
        <v>0</v>
      </c>
      <c r="AB91" s="313" t="str">
        <f t="shared" si="10"/>
        <v/>
      </c>
      <c r="AC91" s="170" t="str">
        <f t="shared" si="11"/>
        <v/>
      </c>
      <c r="AD91" s="170" t="str">
        <f t="shared" si="12"/>
        <v/>
      </c>
    </row>
    <row r="92" spans="1:30" s="170" customFormat="1" ht="20.399999999999999">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9"/>
        <v/>
      </c>
      <c r="T92" s="155" t="str">
        <f ca="1">IF(B92="","",IF(ISERROR(MATCH($J92,SorP!$B$1:$B$6226,0)),"",INDIRECT("'SorP'!$A$"&amp;MATCH($S92&amp;$J92,SorP!C:C,0))))</f>
        <v/>
      </c>
      <c r="U92" s="168"/>
      <c r="V92" s="169" t="e">
        <f>IF(C92="",NA(),MATCH($B92&amp;$C92,'Smelter Look-up'!$J:$J,0))</f>
        <v>#N/A</v>
      </c>
      <c r="X92" s="170">
        <f t="shared" ca="1" si="8"/>
        <v>0</v>
      </c>
      <c r="AB92" s="313" t="str">
        <f t="shared" si="10"/>
        <v/>
      </c>
      <c r="AC92" s="170" t="str">
        <f t="shared" si="11"/>
        <v/>
      </c>
      <c r="AD92" s="170" t="str">
        <f t="shared" si="12"/>
        <v/>
      </c>
    </row>
    <row r="93" spans="1:30" s="170" customFormat="1" ht="20.399999999999999">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9"/>
        <v/>
      </c>
      <c r="T93" s="155" t="str">
        <f ca="1">IF(B93="","",IF(ISERROR(MATCH($J93,SorP!$B$1:$B$6226,0)),"",INDIRECT("'SorP'!$A$"&amp;MATCH($S93&amp;$J93,SorP!C:C,0))))</f>
        <v/>
      </c>
      <c r="U93" s="168"/>
      <c r="V93" s="169" t="e">
        <f>IF(C93="",NA(),MATCH($B93&amp;$C93,'Smelter Look-up'!$J:$J,0))</f>
        <v>#N/A</v>
      </c>
      <c r="X93" s="170">
        <f t="shared" ca="1" si="8"/>
        <v>0</v>
      </c>
      <c r="AB93" s="313" t="str">
        <f t="shared" si="10"/>
        <v/>
      </c>
      <c r="AC93" s="170" t="str">
        <f t="shared" si="11"/>
        <v/>
      </c>
      <c r="AD93" s="170" t="str">
        <f t="shared" si="12"/>
        <v/>
      </c>
    </row>
    <row r="94" spans="1:30" s="170" customFormat="1" ht="20.399999999999999">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ca="1" si="9"/>
        <v/>
      </c>
      <c r="T94" s="155" t="str">
        <f ca="1">IF(B94="","",IF(ISERROR(MATCH($J94,SorP!$B$1:$B$6226,0)),"",INDIRECT("'SorP'!$A$"&amp;MATCH($S94&amp;$J94,SorP!C:C,0))))</f>
        <v/>
      </c>
      <c r="U94" s="168"/>
      <c r="V94" s="169" t="e">
        <f>IF(C94="",NA(),MATCH($B94&amp;$C94,'Smelter Look-up'!$J:$J,0))</f>
        <v>#N/A</v>
      </c>
      <c r="X94" s="170">
        <f t="shared" ca="1" si="8"/>
        <v>0</v>
      </c>
      <c r="AB94" s="313" t="str">
        <f t="shared" si="10"/>
        <v/>
      </c>
      <c r="AC94" s="170" t="str">
        <f t="shared" si="11"/>
        <v/>
      </c>
      <c r="AD94" s="170" t="str">
        <f t="shared" si="12"/>
        <v/>
      </c>
    </row>
    <row r="95" spans="1:30" s="170" customFormat="1" ht="20.399999999999999">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9"/>
        <v/>
      </c>
      <c r="T95" s="155" t="str">
        <f ca="1">IF(B95="","",IF(ISERROR(MATCH($J95,SorP!$B$1:$B$6226,0)),"",INDIRECT("'SorP'!$A$"&amp;MATCH($S95&amp;$J95,SorP!C:C,0))))</f>
        <v/>
      </c>
      <c r="U95" s="168"/>
      <c r="V95" s="169" t="e">
        <f>IF(C95="",NA(),MATCH($B95&amp;$C95,'Smelter Look-up'!$J:$J,0))</f>
        <v>#N/A</v>
      </c>
      <c r="X95" s="170">
        <f t="shared" ca="1" si="8"/>
        <v>0</v>
      </c>
      <c r="AB95" s="313" t="str">
        <f t="shared" si="10"/>
        <v/>
      </c>
      <c r="AC95" s="170" t="str">
        <f t="shared" si="11"/>
        <v/>
      </c>
      <c r="AD95" s="170" t="str">
        <f t="shared" si="12"/>
        <v/>
      </c>
    </row>
    <row r="96" spans="1:30" s="170" customFormat="1" ht="20.399999999999999">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9"/>
        <v/>
      </c>
      <c r="T96" s="155" t="str">
        <f ca="1">IF(B96="","",IF(ISERROR(MATCH($J96,SorP!$B$1:$B$6226,0)),"",INDIRECT("'SorP'!$A$"&amp;MATCH($S96&amp;$J96,SorP!C:C,0))))</f>
        <v/>
      </c>
      <c r="U96" s="168"/>
      <c r="V96" s="169" t="e">
        <f>IF(C96="",NA(),MATCH($B96&amp;$C96,'Smelter Look-up'!$J:$J,0))</f>
        <v>#N/A</v>
      </c>
      <c r="X96" s="170">
        <f t="shared" ca="1" si="8"/>
        <v>0</v>
      </c>
      <c r="AB96" s="313" t="str">
        <f t="shared" si="10"/>
        <v/>
      </c>
      <c r="AC96" s="170" t="str">
        <f t="shared" si="11"/>
        <v/>
      </c>
      <c r="AD96" s="170" t="str">
        <f t="shared" si="12"/>
        <v/>
      </c>
    </row>
    <row r="97" spans="1:30" s="170" customFormat="1" ht="20.399999999999999">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9"/>
        <v/>
      </c>
      <c r="T97" s="155" t="str">
        <f ca="1">IF(B97="","",IF(ISERROR(MATCH($J97,SorP!$B$1:$B$6226,0)),"",INDIRECT("'SorP'!$A$"&amp;MATCH($S97&amp;$J97,SorP!C:C,0))))</f>
        <v/>
      </c>
      <c r="U97" s="168"/>
      <c r="V97" s="169" t="e">
        <f>IF(C97="",NA(),MATCH($B97&amp;$C97,'Smelter Look-up'!$J:$J,0))</f>
        <v>#N/A</v>
      </c>
      <c r="X97" s="170">
        <f t="shared" ca="1" si="8"/>
        <v>0</v>
      </c>
      <c r="AB97" s="313" t="str">
        <f t="shared" si="10"/>
        <v/>
      </c>
      <c r="AC97" s="170" t="str">
        <f t="shared" si="11"/>
        <v/>
      </c>
      <c r="AD97" s="170" t="str">
        <f t="shared" si="12"/>
        <v/>
      </c>
    </row>
    <row r="98" spans="1:30" s="170" customFormat="1" ht="20.399999999999999">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9"/>
        <v/>
      </c>
      <c r="T98" s="155" t="str">
        <f ca="1">IF(B98="","",IF(ISERROR(MATCH($J98,SorP!$B$1:$B$6226,0)),"",INDIRECT("'SorP'!$A$"&amp;MATCH($S98&amp;$J98,SorP!C:C,0))))</f>
        <v/>
      </c>
      <c r="U98" s="168"/>
      <c r="V98" s="169" t="e">
        <f>IF(C98="",NA(),MATCH($B98&amp;$C98,'Smelter Look-up'!$J:$J,0))</f>
        <v>#N/A</v>
      </c>
      <c r="X98" s="170">
        <f t="shared" ca="1" si="8"/>
        <v>0</v>
      </c>
      <c r="AB98" s="313" t="str">
        <f t="shared" si="10"/>
        <v/>
      </c>
      <c r="AC98" s="170" t="str">
        <f t="shared" si="11"/>
        <v/>
      </c>
      <c r="AD98" s="170" t="str">
        <f t="shared" si="12"/>
        <v/>
      </c>
    </row>
    <row r="99" spans="1:30" s="170" customFormat="1" ht="20.399999999999999">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9"/>
        <v/>
      </c>
      <c r="T99" s="155" t="str">
        <f ca="1">IF(B99="","",IF(ISERROR(MATCH($J99,SorP!$B$1:$B$6226,0)),"",INDIRECT("'SorP'!$A$"&amp;MATCH($S99&amp;$J99,SorP!C:C,0))))</f>
        <v/>
      </c>
      <c r="U99" s="168"/>
      <c r="V99" s="169" t="e">
        <f>IF(C99="",NA(),MATCH($B99&amp;$C99,'Smelter Look-up'!$J:$J,0))</f>
        <v>#N/A</v>
      </c>
      <c r="X99" s="170">
        <f t="shared" ca="1" si="8"/>
        <v>0</v>
      </c>
      <c r="AB99" s="313" t="str">
        <f t="shared" si="10"/>
        <v/>
      </c>
      <c r="AC99" s="170" t="str">
        <f t="shared" si="11"/>
        <v/>
      </c>
      <c r="AD99" s="170" t="str">
        <f t="shared" si="12"/>
        <v/>
      </c>
    </row>
    <row r="100" spans="1:30" s="170" customFormat="1" ht="20.399999999999999">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9"/>
        <v/>
      </c>
      <c r="T100" s="155" t="str">
        <f ca="1">IF(B100="","",IF(ISERROR(MATCH($J100,SorP!$B$1:$B$6226,0)),"",INDIRECT("'SorP'!$A$"&amp;MATCH($S100&amp;$J100,SorP!C:C,0))))</f>
        <v/>
      </c>
      <c r="U100" s="168"/>
      <c r="V100" s="169" t="e">
        <f>IF(C100="",NA(),MATCH($B100&amp;$C100,'Smelter Look-up'!$J:$J,0))</f>
        <v>#N/A</v>
      </c>
      <c r="X100" s="170">
        <f t="shared" ca="1" si="8"/>
        <v>0</v>
      </c>
      <c r="AB100" s="313" t="str">
        <f t="shared" si="10"/>
        <v/>
      </c>
      <c r="AC100" s="170" t="str">
        <f t="shared" si="11"/>
        <v/>
      </c>
      <c r="AD100" s="170" t="str">
        <f t="shared" si="12"/>
        <v/>
      </c>
    </row>
    <row r="101" spans="1:30" s="170" customFormat="1" ht="20.399999999999999">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9"/>
        <v/>
      </c>
      <c r="T101" s="155" t="str">
        <f ca="1">IF(B101="","",IF(ISERROR(MATCH($J101,SorP!$B$1:$B$6226,0)),"",INDIRECT("'SorP'!$A$"&amp;MATCH($S101&amp;$J101,SorP!C:C,0))))</f>
        <v/>
      </c>
      <c r="U101" s="168"/>
      <c r="V101" s="169" t="e">
        <f>IF(C101="",NA(),MATCH($B101&amp;$C101,'Smelter Look-up'!$J:$J,0))</f>
        <v>#N/A</v>
      </c>
      <c r="X101" s="170">
        <f t="shared" ca="1" si="8"/>
        <v>0</v>
      </c>
      <c r="AB101" s="313" t="str">
        <f t="shared" si="10"/>
        <v/>
      </c>
      <c r="AC101" s="170" t="str">
        <f t="shared" si="11"/>
        <v/>
      </c>
      <c r="AD101" s="170" t="str">
        <f t="shared" si="12"/>
        <v/>
      </c>
    </row>
    <row r="102" spans="1:30" s="170" customFormat="1" ht="20.399999999999999">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9"/>
        <v/>
      </c>
      <c r="T102" s="155" t="str">
        <f ca="1">IF(B102="","",IF(ISERROR(MATCH($J102,SorP!$B$1:$B$6226,0)),"",INDIRECT("'SorP'!$A$"&amp;MATCH($S102&amp;$J102,SorP!C:C,0))))</f>
        <v/>
      </c>
      <c r="U102" s="168"/>
      <c r="V102" s="169" t="e">
        <f>IF(C102="",NA(),MATCH($B102&amp;$C102,'Smelter Look-up'!$J:$J,0))</f>
        <v>#N/A</v>
      </c>
      <c r="X102" s="170">
        <f t="shared" ca="1" si="8"/>
        <v>0</v>
      </c>
      <c r="AB102" s="313" t="str">
        <f t="shared" si="10"/>
        <v/>
      </c>
      <c r="AC102" s="170" t="str">
        <f t="shared" si="11"/>
        <v/>
      </c>
      <c r="AD102" s="170" t="str">
        <f t="shared" si="12"/>
        <v/>
      </c>
    </row>
    <row r="103" spans="1:30" s="170" customFormat="1" ht="20.399999999999999">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9"/>
        <v/>
      </c>
      <c r="T103" s="155" t="str">
        <f ca="1">IF(B103="","",IF(ISERROR(MATCH($J103,SorP!$B$1:$B$6226,0)),"",INDIRECT("'SorP'!$A$"&amp;MATCH($S103&amp;$J103,SorP!C:C,0))))</f>
        <v/>
      </c>
      <c r="U103" s="168"/>
      <c r="V103" s="169" t="e">
        <f>IF(C103="",NA(),MATCH($B103&amp;$C103,'Smelter Look-up'!$J:$J,0))</f>
        <v>#N/A</v>
      </c>
      <c r="X103" s="170">
        <f t="shared" ca="1" si="8"/>
        <v>0</v>
      </c>
      <c r="AB103" s="313" t="str">
        <f t="shared" si="10"/>
        <v/>
      </c>
      <c r="AC103" s="170" t="str">
        <f t="shared" si="11"/>
        <v/>
      </c>
      <c r="AD103" s="170" t="str">
        <f t="shared" si="12"/>
        <v/>
      </c>
    </row>
    <row r="104" spans="1:30" s="170" customFormat="1" ht="20.399999999999999">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9"/>
        <v/>
      </c>
      <c r="T104" s="155" t="str">
        <f ca="1">IF(B104="","",IF(ISERROR(MATCH($J104,SorP!$B$1:$B$6226,0)),"",INDIRECT("'SorP'!$A$"&amp;MATCH($S104&amp;$J104,SorP!C:C,0))))</f>
        <v/>
      </c>
      <c r="U104" s="168"/>
      <c r="V104" s="169" t="e">
        <f>IF(C104="",NA(),MATCH($B104&amp;$C104,'Smelter Look-up'!$J:$J,0))</f>
        <v>#N/A</v>
      </c>
      <c r="X104" s="170">
        <f t="shared" ca="1" si="8"/>
        <v>0</v>
      </c>
      <c r="AB104" s="313" t="str">
        <f t="shared" si="10"/>
        <v/>
      </c>
      <c r="AC104" s="170" t="str">
        <f t="shared" si="11"/>
        <v/>
      </c>
      <c r="AD104" s="170" t="str">
        <f t="shared" si="12"/>
        <v/>
      </c>
    </row>
    <row r="105" spans="1:30" s="170" customFormat="1" ht="20.399999999999999">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9"/>
        <v/>
      </c>
      <c r="T105" s="155" t="str">
        <f ca="1">IF(B105="","",IF(ISERROR(MATCH($J105,SorP!$B$1:$B$6226,0)),"",INDIRECT("'SorP'!$A$"&amp;MATCH($S105&amp;$J105,SorP!C:C,0))))</f>
        <v/>
      </c>
      <c r="U105" s="168"/>
      <c r="V105" s="169" t="e">
        <f>IF(C105="",NA(),MATCH($B105&amp;$C105,'Smelter Look-up'!$J:$J,0))</f>
        <v>#N/A</v>
      </c>
      <c r="X105" s="170">
        <f t="shared" ca="1" si="8"/>
        <v>0</v>
      </c>
      <c r="AB105" s="313" t="str">
        <f t="shared" si="10"/>
        <v/>
      </c>
      <c r="AC105" s="170" t="str">
        <f t="shared" si="11"/>
        <v/>
      </c>
      <c r="AD105" s="170" t="str">
        <f t="shared" si="12"/>
        <v/>
      </c>
    </row>
    <row r="106" spans="1:30" s="170" customFormat="1" ht="20.399999999999999">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9"/>
        <v/>
      </c>
      <c r="T106" s="155" t="str">
        <f ca="1">IF(B106="","",IF(ISERROR(MATCH($J106,SorP!$B$1:$B$6226,0)),"",INDIRECT("'SorP'!$A$"&amp;MATCH($S106&amp;$J106,SorP!C:C,0))))</f>
        <v/>
      </c>
      <c r="U106" s="168"/>
      <c r="V106" s="169" t="e">
        <f>IF(C106="",NA(),MATCH($B106&amp;$C106,'Smelter Look-up'!$J:$J,0))</f>
        <v>#N/A</v>
      </c>
      <c r="X106" s="170">
        <f t="shared" ca="1" si="8"/>
        <v>0</v>
      </c>
      <c r="AB106" s="313" t="str">
        <f t="shared" si="10"/>
        <v/>
      </c>
      <c r="AC106" s="170" t="str">
        <f t="shared" si="11"/>
        <v/>
      </c>
      <c r="AD106" s="170" t="str">
        <f t="shared" si="12"/>
        <v/>
      </c>
    </row>
    <row r="107" spans="1:30" s="170" customFormat="1" ht="20.399999999999999">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9"/>
        <v/>
      </c>
      <c r="T107" s="155" t="str">
        <f ca="1">IF(B107="","",IF(ISERROR(MATCH($J107,SorP!$B$1:$B$6226,0)),"",INDIRECT("'SorP'!$A$"&amp;MATCH($S107&amp;$J107,SorP!C:C,0))))</f>
        <v/>
      </c>
      <c r="U107" s="168"/>
      <c r="V107" s="169" t="e">
        <f>IF(C107="",NA(),MATCH($B107&amp;$C107,'Smelter Look-up'!$J:$J,0))</f>
        <v>#N/A</v>
      </c>
      <c r="X107" s="170">
        <f t="shared" ca="1" si="8"/>
        <v>0</v>
      </c>
      <c r="AB107" s="313" t="str">
        <f t="shared" si="10"/>
        <v/>
      </c>
      <c r="AC107" s="170" t="str">
        <f t="shared" si="11"/>
        <v/>
      </c>
      <c r="AD107" s="170" t="str">
        <f t="shared" si="12"/>
        <v/>
      </c>
    </row>
    <row r="108" spans="1:30" s="170" customFormat="1" ht="20.399999999999999">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9"/>
        <v/>
      </c>
      <c r="T108" s="155" t="str">
        <f ca="1">IF(B108="","",IF(ISERROR(MATCH($J108,SorP!$B$1:$B$6226,0)),"",INDIRECT("'SorP'!$A$"&amp;MATCH($S108&amp;$J108,SorP!C:C,0))))</f>
        <v/>
      </c>
      <c r="U108" s="168"/>
      <c r="V108" s="169" t="e">
        <f>IF(C108="",NA(),MATCH($B108&amp;$C108,'Smelter Look-up'!$J:$J,0))</f>
        <v>#N/A</v>
      </c>
      <c r="X108" s="170">
        <f t="shared" ca="1" si="8"/>
        <v>0</v>
      </c>
      <c r="AB108" s="313" t="str">
        <f t="shared" si="10"/>
        <v/>
      </c>
      <c r="AC108" s="170" t="str">
        <f t="shared" si="11"/>
        <v/>
      </c>
      <c r="AD108" s="170" t="str">
        <f t="shared" si="12"/>
        <v/>
      </c>
    </row>
    <row r="109" spans="1:30" s="170" customFormat="1" ht="20.399999999999999">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9"/>
        <v/>
      </c>
      <c r="T109" s="155" t="str">
        <f ca="1">IF(B109="","",IF(ISERROR(MATCH($J109,SorP!$B$1:$B$6226,0)),"",INDIRECT("'SorP'!$A$"&amp;MATCH($S109&amp;$J109,SorP!C:C,0))))</f>
        <v/>
      </c>
      <c r="U109" s="168"/>
      <c r="V109" s="169" t="e">
        <f>IF(C109="",NA(),MATCH($B109&amp;$C109,'Smelter Look-up'!$J:$J,0))</f>
        <v>#N/A</v>
      </c>
      <c r="X109" s="170">
        <f t="shared" ca="1" si="8"/>
        <v>0</v>
      </c>
      <c r="AB109" s="313" t="str">
        <f t="shared" si="10"/>
        <v/>
      </c>
      <c r="AC109" s="170" t="str">
        <f t="shared" si="11"/>
        <v/>
      </c>
      <c r="AD109" s="170" t="str">
        <f t="shared" si="12"/>
        <v/>
      </c>
    </row>
    <row r="110" spans="1:30" s="170" customFormat="1" ht="20.399999999999999">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9"/>
        <v/>
      </c>
      <c r="T110" s="155" t="str">
        <f ca="1">IF(B110="","",IF(ISERROR(MATCH($J110,SorP!$B$1:$B$6226,0)),"",INDIRECT("'SorP'!$A$"&amp;MATCH($S110&amp;$J110,SorP!C:C,0))))</f>
        <v/>
      </c>
      <c r="U110" s="168"/>
      <c r="V110" s="169" t="e">
        <f>IF(C110="",NA(),MATCH($B110&amp;$C110,'Smelter Look-up'!$J:$J,0))</f>
        <v>#N/A</v>
      </c>
      <c r="X110" s="170">
        <f t="shared" ca="1" si="8"/>
        <v>0</v>
      </c>
      <c r="AB110" s="313" t="str">
        <f t="shared" si="10"/>
        <v/>
      </c>
      <c r="AC110" s="170" t="str">
        <f t="shared" si="11"/>
        <v/>
      </c>
      <c r="AD110" s="170" t="str">
        <f t="shared" si="12"/>
        <v/>
      </c>
    </row>
    <row r="111" spans="1:30" s="170" customFormat="1" ht="20.399999999999999">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9"/>
        <v/>
      </c>
      <c r="T111" s="155" t="str">
        <f ca="1">IF(B111="","",IF(ISERROR(MATCH($J111,SorP!$B$1:$B$6226,0)),"",INDIRECT("'SorP'!$A$"&amp;MATCH($S111&amp;$J111,SorP!C:C,0))))</f>
        <v/>
      </c>
      <c r="U111" s="168"/>
      <c r="V111" s="169" t="e">
        <f>IF(C111="",NA(),MATCH($B111&amp;$C111,'Smelter Look-up'!$J:$J,0))</f>
        <v>#N/A</v>
      </c>
      <c r="X111" s="170">
        <f t="shared" ca="1" si="8"/>
        <v>0</v>
      </c>
      <c r="AB111" s="313" t="str">
        <f t="shared" si="10"/>
        <v/>
      </c>
      <c r="AC111" s="170" t="str">
        <f t="shared" si="11"/>
        <v/>
      </c>
      <c r="AD111" s="170" t="str">
        <f t="shared" si="12"/>
        <v/>
      </c>
    </row>
    <row r="112" spans="1:30" s="170" customFormat="1" ht="20.399999999999999">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9"/>
        <v/>
      </c>
      <c r="T112" s="155" t="str">
        <f ca="1">IF(B112="","",IF(ISERROR(MATCH($J112,SorP!$B$1:$B$6226,0)),"",INDIRECT("'SorP'!$A$"&amp;MATCH($S112&amp;$J112,SorP!C:C,0))))</f>
        <v/>
      </c>
      <c r="U112" s="168"/>
      <c r="V112" s="169" t="e">
        <f>IF(C112="",NA(),MATCH($B112&amp;$C112,'Smelter Look-up'!$J:$J,0))</f>
        <v>#N/A</v>
      </c>
      <c r="X112" s="170">
        <f t="shared" ca="1" si="8"/>
        <v>0</v>
      </c>
      <c r="AB112" s="313" t="str">
        <f t="shared" si="10"/>
        <v/>
      </c>
      <c r="AC112" s="170" t="str">
        <f t="shared" si="11"/>
        <v/>
      </c>
      <c r="AD112" s="170" t="str">
        <f t="shared" si="12"/>
        <v/>
      </c>
    </row>
    <row r="113" spans="1:30" s="170" customFormat="1" ht="20.399999999999999">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9"/>
        <v/>
      </c>
      <c r="T113" s="155" t="str">
        <f ca="1">IF(B113="","",IF(ISERROR(MATCH($J113,SorP!$B$1:$B$6226,0)),"",INDIRECT("'SorP'!$A$"&amp;MATCH($S113&amp;$J113,SorP!C:C,0))))</f>
        <v/>
      </c>
      <c r="U113" s="168"/>
      <c r="V113" s="169" t="e">
        <f>IF(C113="",NA(),MATCH($B113&amp;$C113,'Smelter Look-up'!$J:$J,0))</f>
        <v>#N/A</v>
      </c>
      <c r="X113" s="170">
        <f t="shared" ca="1" si="8"/>
        <v>0</v>
      </c>
      <c r="AB113" s="313" t="str">
        <f t="shared" si="10"/>
        <v/>
      </c>
      <c r="AC113" s="170" t="str">
        <f t="shared" si="11"/>
        <v/>
      </c>
      <c r="AD113" s="170" t="str">
        <f t="shared" si="12"/>
        <v/>
      </c>
    </row>
    <row r="114" spans="1:30" s="170" customFormat="1" ht="20.399999999999999">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9"/>
        <v/>
      </c>
      <c r="T114" s="155" t="str">
        <f ca="1">IF(B114="","",IF(ISERROR(MATCH($J114,SorP!$B$1:$B$6226,0)),"",INDIRECT("'SorP'!$A$"&amp;MATCH($S114&amp;$J114,SorP!C:C,0))))</f>
        <v/>
      </c>
      <c r="U114" s="168"/>
      <c r="V114" s="169" t="e">
        <f>IF(C114="",NA(),MATCH($B114&amp;$C114,'Smelter Look-up'!$J:$J,0))</f>
        <v>#N/A</v>
      </c>
      <c r="X114" s="170">
        <f t="shared" ca="1" si="8"/>
        <v>0</v>
      </c>
      <c r="AB114" s="313" t="str">
        <f t="shared" si="10"/>
        <v/>
      </c>
      <c r="AC114" s="170" t="str">
        <f t="shared" si="11"/>
        <v/>
      </c>
      <c r="AD114" s="170" t="str">
        <f t="shared" si="12"/>
        <v/>
      </c>
    </row>
    <row r="115" spans="1:30" s="170" customFormat="1" ht="20.399999999999999">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9"/>
        <v/>
      </c>
      <c r="T115" s="155" t="str">
        <f ca="1">IF(B115="","",IF(ISERROR(MATCH($J115,SorP!$B$1:$B$6226,0)),"",INDIRECT("'SorP'!$A$"&amp;MATCH($S115&amp;$J115,SorP!C:C,0))))</f>
        <v/>
      </c>
      <c r="U115" s="168"/>
      <c r="V115" s="169" t="e">
        <f>IF(C115="",NA(),MATCH($B115&amp;$C115,'Smelter Look-up'!$J:$J,0))</f>
        <v>#N/A</v>
      </c>
      <c r="X115" s="170">
        <f t="shared" ca="1" si="8"/>
        <v>0</v>
      </c>
      <c r="AB115" s="313" t="str">
        <f t="shared" si="10"/>
        <v/>
      </c>
      <c r="AC115" s="170" t="str">
        <f t="shared" si="11"/>
        <v/>
      </c>
      <c r="AD115" s="170" t="str">
        <f t="shared" si="12"/>
        <v/>
      </c>
    </row>
    <row r="116" spans="1:30" s="170" customFormat="1" ht="20.399999999999999">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9"/>
        <v/>
      </c>
      <c r="T116" s="155" t="str">
        <f ca="1">IF(B116="","",IF(ISERROR(MATCH($J116,SorP!$B$1:$B$6226,0)),"",INDIRECT("'SorP'!$A$"&amp;MATCH($S116&amp;$J116,SorP!C:C,0))))</f>
        <v/>
      </c>
      <c r="U116" s="168"/>
      <c r="V116" s="169" t="e">
        <f>IF(C116="",NA(),MATCH($B116&amp;$C116,'Smelter Look-up'!$J:$J,0))</f>
        <v>#N/A</v>
      </c>
      <c r="X116" s="170">
        <f t="shared" ca="1" si="8"/>
        <v>0</v>
      </c>
      <c r="AB116" s="313" t="str">
        <f t="shared" si="10"/>
        <v/>
      </c>
      <c r="AC116" s="170" t="str">
        <f t="shared" si="11"/>
        <v/>
      </c>
      <c r="AD116" s="170" t="str">
        <f t="shared" si="12"/>
        <v/>
      </c>
    </row>
    <row r="117" spans="1:30" s="170" customFormat="1" ht="20.399999999999999">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9"/>
        <v/>
      </c>
      <c r="T117" s="155" t="str">
        <f ca="1">IF(B117="","",IF(ISERROR(MATCH($J117,SorP!$B$1:$B$6226,0)),"",INDIRECT("'SorP'!$A$"&amp;MATCH($S117&amp;$J117,SorP!C:C,0))))</f>
        <v/>
      </c>
      <c r="U117" s="168"/>
      <c r="V117" s="169" t="e">
        <f>IF(C117="",NA(),MATCH($B117&amp;$C117,'Smelter Look-up'!$J:$J,0))</f>
        <v>#N/A</v>
      </c>
      <c r="X117" s="170">
        <f t="shared" ca="1" si="8"/>
        <v>0</v>
      </c>
      <c r="AB117" s="313" t="str">
        <f t="shared" si="10"/>
        <v/>
      </c>
      <c r="AC117" s="170" t="str">
        <f t="shared" si="11"/>
        <v/>
      </c>
      <c r="AD117" s="170" t="str">
        <f t="shared" si="12"/>
        <v/>
      </c>
    </row>
    <row r="118" spans="1:30" s="170" customFormat="1" ht="20.399999999999999">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9"/>
        <v/>
      </c>
      <c r="T118" s="155" t="str">
        <f ca="1">IF(B118="","",IF(ISERROR(MATCH($J118,SorP!$B$1:$B$6226,0)),"",INDIRECT("'SorP'!$A$"&amp;MATCH($S118&amp;$J118,SorP!C:C,0))))</f>
        <v/>
      </c>
      <c r="U118" s="168"/>
      <c r="V118" s="169" t="e">
        <f>IF(C118="",NA(),MATCH($B118&amp;$C118,'Smelter Look-up'!$J:$J,0))</f>
        <v>#N/A</v>
      </c>
      <c r="X118" s="170">
        <f t="shared" ca="1" si="8"/>
        <v>0</v>
      </c>
      <c r="AB118" s="313" t="str">
        <f t="shared" si="10"/>
        <v/>
      </c>
      <c r="AC118" s="170" t="str">
        <f t="shared" si="11"/>
        <v/>
      </c>
      <c r="AD118" s="170" t="str">
        <f t="shared" si="12"/>
        <v/>
      </c>
    </row>
    <row r="119" spans="1:30" s="170" customFormat="1" ht="20.399999999999999">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9"/>
        <v/>
      </c>
      <c r="T119" s="155" t="str">
        <f ca="1">IF(B119="","",IF(ISERROR(MATCH($J119,SorP!$B$1:$B$6226,0)),"",INDIRECT("'SorP'!$A$"&amp;MATCH($S119&amp;$J119,SorP!C:C,0))))</f>
        <v/>
      </c>
      <c r="U119" s="168"/>
      <c r="V119" s="169" t="e">
        <f>IF(C119="",NA(),MATCH($B119&amp;$C119,'Smelter Look-up'!$J:$J,0))</f>
        <v>#N/A</v>
      </c>
      <c r="X119" s="170">
        <f t="shared" ca="1" si="8"/>
        <v>0</v>
      </c>
      <c r="AB119" s="313" t="str">
        <f t="shared" si="10"/>
        <v/>
      </c>
      <c r="AC119" s="170" t="str">
        <f t="shared" si="11"/>
        <v/>
      </c>
      <c r="AD119" s="170" t="str">
        <f t="shared" si="12"/>
        <v/>
      </c>
    </row>
    <row r="120" spans="1:30" s="170" customFormat="1" ht="20.399999999999999">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9"/>
        <v/>
      </c>
      <c r="T120" s="155" t="str">
        <f ca="1">IF(B120="","",IF(ISERROR(MATCH($J120,SorP!$B$1:$B$6226,0)),"",INDIRECT("'SorP'!$A$"&amp;MATCH($S120&amp;$J120,SorP!C:C,0))))</f>
        <v/>
      </c>
      <c r="U120" s="168"/>
      <c r="V120" s="169" t="e">
        <f>IF(C120="",NA(),MATCH($B120&amp;$C120,'Smelter Look-up'!$J:$J,0))</f>
        <v>#N/A</v>
      </c>
      <c r="X120" s="170">
        <f t="shared" ca="1" si="8"/>
        <v>0</v>
      </c>
      <c r="AB120" s="313" t="str">
        <f t="shared" si="10"/>
        <v/>
      </c>
      <c r="AC120" s="170" t="str">
        <f t="shared" si="11"/>
        <v/>
      </c>
      <c r="AD120" s="170" t="str">
        <f t="shared" si="12"/>
        <v/>
      </c>
    </row>
    <row r="121" spans="1:30" s="170" customFormat="1" ht="20.399999999999999">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9"/>
        <v/>
      </c>
      <c r="T121" s="155" t="str">
        <f ca="1">IF(B121="","",IF(ISERROR(MATCH($J121,SorP!$B$1:$B$6226,0)),"",INDIRECT("'SorP'!$A$"&amp;MATCH($S121&amp;$J121,SorP!C:C,0))))</f>
        <v/>
      </c>
      <c r="U121" s="168"/>
      <c r="V121" s="169" t="e">
        <f>IF(C121="",NA(),MATCH($B121&amp;$C121,'Smelter Look-up'!$J:$J,0))</f>
        <v>#N/A</v>
      </c>
      <c r="X121" s="170">
        <f t="shared" ca="1" si="8"/>
        <v>0</v>
      </c>
      <c r="AB121" s="313" t="str">
        <f t="shared" si="10"/>
        <v/>
      </c>
      <c r="AC121" s="170" t="str">
        <f t="shared" si="11"/>
        <v/>
      </c>
      <c r="AD121" s="170" t="str">
        <f t="shared" si="12"/>
        <v/>
      </c>
    </row>
    <row r="122" spans="1:30" s="170" customFormat="1" ht="20.399999999999999">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9"/>
        <v/>
      </c>
      <c r="T122" s="155" t="str">
        <f ca="1">IF(B122="","",IF(ISERROR(MATCH($J122,SorP!$B$1:$B$6226,0)),"",INDIRECT("'SorP'!$A$"&amp;MATCH($S122&amp;$J122,SorP!C:C,0))))</f>
        <v/>
      </c>
      <c r="U122" s="168"/>
      <c r="V122" s="169" t="e">
        <f>IF(C122="",NA(),MATCH($B122&amp;$C122,'Smelter Look-up'!$J:$J,0))</f>
        <v>#N/A</v>
      </c>
      <c r="X122" s="170">
        <f t="shared" ca="1" si="8"/>
        <v>0</v>
      </c>
      <c r="AB122" s="313" t="str">
        <f t="shared" si="10"/>
        <v/>
      </c>
      <c r="AC122" s="170" t="str">
        <f t="shared" si="11"/>
        <v/>
      </c>
      <c r="AD122" s="170" t="str">
        <f t="shared" si="12"/>
        <v/>
      </c>
    </row>
    <row r="123" spans="1:30" s="170" customFormat="1" ht="20.399999999999999">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9"/>
        <v/>
      </c>
      <c r="T123" s="155" t="str">
        <f ca="1">IF(B123="","",IF(ISERROR(MATCH($J123,SorP!$B$1:$B$6226,0)),"",INDIRECT("'SorP'!$A$"&amp;MATCH($S123&amp;$J123,SorP!C:C,0))))</f>
        <v/>
      </c>
      <c r="U123" s="168"/>
      <c r="V123" s="169" t="e">
        <f>IF(C123="",NA(),MATCH($B123&amp;$C123,'Smelter Look-up'!$J:$J,0))</f>
        <v>#N/A</v>
      </c>
      <c r="X123" s="170">
        <f t="shared" ca="1" si="8"/>
        <v>0</v>
      </c>
      <c r="AB123" s="313" t="str">
        <f t="shared" si="10"/>
        <v/>
      </c>
      <c r="AC123" s="170" t="str">
        <f t="shared" si="11"/>
        <v/>
      </c>
      <c r="AD123" s="170" t="str">
        <f t="shared" si="12"/>
        <v/>
      </c>
    </row>
    <row r="124" spans="1:30" s="170" customFormat="1" ht="20.399999999999999">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9"/>
        <v/>
      </c>
      <c r="T124" s="155" t="str">
        <f ca="1">IF(B124="","",IF(ISERROR(MATCH($J124,SorP!$B$1:$B$6226,0)),"",INDIRECT("'SorP'!$A$"&amp;MATCH($S124&amp;$J124,SorP!C:C,0))))</f>
        <v/>
      </c>
      <c r="U124" s="168"/>
      <c r="V124" s="169" t="e">
        <f>IF(C124="",NA(),MATCH($B124&amp;$C124,'Smelter Look-up'!$J:$J,0))</f>
        <v>#N/A</v>
      </c>
      <c r="X124" s="170">
        <f t="shared" ca="1" si="8"/>
        <v>0</v>
      </c>
      <c r="AB124" s="313" t="str">
        <f t="shared" si="10"/>
        <v/>
      </c>
      <c r="AC124" s="170" t="str">
        <f t="shared" si="11"/>
        <v/>
      </c>
      <c r="AD124" s="170" t="str">
        <f t="shared" si="12"/>
        <v/>
      </c>
    </row>
    <row r="125" spans="1:30" s="170" customFormat="1" ht="20.399999999999999">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9"/>
        <v/>
      </c>
      <c r="T125" s="155" t="str">
        <f ca="1">IF(B125="","",IF(ISERROR(MATCH($J125,SorP!$B$1:$B$6226,0)),"",INDIRECT("'SorP'!$A$"&amp;MATCH($S125&amp;$J125,SorP!C:C,0))))</f>
        <v/>
      </c>
      <c r="U125" s="168"/>
      <c r="V125" s="169" t="e">
        <f>IF(C125="",NA(),MATCH($B125&amp;$C125,'Smelter Look-up'!$J:$J,0))</f>
        <v>#N/A</v>
      </c>
      <c r="X125" s="170">
        <f t="shared" ca="1" si="8"/>
        <v>0</v>
      </c>
      <c r="AB125" s="313" t="str">
        <f t="shared" si="10"/>
        <v/>
      </c>
      <c r="AC125" s="170" t="str">
        <f t="shared" si="11"/>
        <v/>
      </c>
      <c r="AD125" s="170" t="str">
        <f t="shared" si="12"/>
        <v/>
      </c>
    </row>
    <row r="126" spans="1:30" s="170" customFormat="1" ht="20.399999999999999">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9"/>
        <v/>
      </c>
      <c r="T126" s="155" t="str">
        <f ca="1">IF(B126="","",IF(ISERROR(MATCH($J126,SorP!$B$1:$B$6226,0)),"",INDIRECT("'SorP'!$A$"&amp;MATCH($S126&amp;$J126,SorP!C:C,0))))</f>
        <v/>
      </c>
      <c r="U126" s="168"/>
      <c r="V126" s="169" t="e">
        <f>IF(C126="",NA(),MATCH($B126&amp;$C126,'Smelter Look-up'!$J:$J,0))</f>
        <v>#N/A</v>
      </c>
      <c r="X126" s="170">
        <f t="shared" ca="1" si="8"/>
        <v>0</v>
      </c>
      <c r="AB126" s="313" t="str">
        <f t="shared" si="10"/>
        <v/>
      </c>
      <c r="AC126" s="170" t="str">
        <f t="shared" si="11"/>
        <v/>
      </c>
      <c r="AD126" s="170" t="str">
        <f t="shared" si="12"/>
        <v/>
      </c>
    </row>
    <row r="127" spans="1:30" s="170" customFormat="1" ht="20.399999999999999">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9"/>
        <v/>
      </c>
      <c r="T127" s="155" t="str">
        <f ca="1">IF(B127="","",IF(ISERROR(MATCH($J127,SorP!$B$1:$B$6226,0)),"",INDIRECT("'SorP'!$A$"&amp;MATCH($S127&amp;$J127,SorP!C:C,0))))</f>
        <v/>
      </c>
      <c r="U127" s="168"/>
      <c r="V127" s="169" t="e">
        <f>IF(C127="",NA(),MATCH($B127&amp;$C127,'Smelter Look-up'!$J:$J,0))</f>
        <v>#N/A</v>
      </c>
      <c r="X127" s="170">
        <f t="shared" ref="X127:X190" ca="1" si="13">IF(AND(C127="Smelter not listed",OR(LEN(D127)=0,LEN(E127)=0)),1,0)</f>
        <v>0</v>
      </c>
      <c r="AB127" s="313" t="str">
        <f t="shared" si="10"/>
        <v/>
      </c>
      <c r="AC127" s="170" t="str">
        <f t="shared" si="11"/>
        <v/>
      </c>
      <c r="AD127" s="170" t="str">
        <f t="shared" si="12"/>
        <v/>
      </c>
    </row>
    <row r="128" spans="1:30" s="170" customFormat="1" ht="20.399999999999999">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ref="S128:S191" ca="1" si="14">IF(B128="","",IF(ISERROR(MATCH($E128,CL,0)),"Unknown",INDIRECT("'C'!$A$"&amp;MATCH($E128,CL,0)+1)))</f>
        <v/>
      </c>
      <c r="T128" s="155" t="str">
        <f ca="1">IF(B128="","",IF(ISERROR(MATCH($J128,SorP!$B$1:$B$6226,0)),"",INDIRECT("'SorP'!$A$"&amp;MATCH($S128&amp;$J128,SorP!C:C,0))))</f>
        <v/>
      </c>
      <c r="U128" s="168"/>
      <c r="V128" s="169" t="e">
        <f>IF(C128="",NA(),MATCH($B128&amp;$C128,'Smelter Look-up'!$J:$J,0))</f>
        <v>#N/A</v>
      </c>
      <c r="X128" s="170">
        <f t="shared" ca="1" si="13"/>
        <v>0</v>
      </c>
      <c r="AB128" s="313" t="str">
        <f t="shared" si="10"/>
        <v/>
      </c>
      <c r="AC128" s="170" t="str">
        <f t="shared" si="11"/>
        <v/>
      </c>
      <c r="AD128" s="170" t="str">
        <f t="shared" si="12"/>
        <v/>
      </c>
    </row>
    <row r="129" spans="1:30" s="170" customFormat="1" ht="20.399999999999999">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4"/>
        <v/>
      </c>
      <c r="T129" s="155" t="str">
        <f ca="1">IF(B129="","",IF(ISERROR(MATCH($J129,SorP!$B$1:$B$6226,0)),"",INDIRECT("'SorP'!$A$"&amp;MATCH($S129&amp;$J129,SorP!C:C,0))))</f>
        <v/>
      </c>
      <c r="U129" s="168"/>
      <c r="V129" s="169" t="e">
        <f>IF(C129="",NA(),MATCH($B129&amp;$C129,'Smelter Look-up'!$J:$J,0))</f>
        <v>#N/A</v>
      </c>
      <c r="X129" s="170">
        <f t="shared" ca="1" si="13"/>
        <v>0</v>
      </c>
      <c r="AB129" s="313" t="str">
        <f t="shared" si="10"/>
        <v/>
      </c>
      <c r="AC129" s="170" t="str">
        <f t="shared" si="11"/>
        <v/>
      </c>
      <c r="AD129" s="170" t="str">
        <f t="shared" si="12"/>
        <v/>
      </c>
    </row>
    <row r="130" spans="1:30" s="170" customFormat="1" ht="20.399999999999999">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4"/>
        <v/>
      </c>
      <c r="T130" s="155" t="str">
        <f ca="1">IF(B130="","",IF(ISERROR(MATCH($J130,SorP!$B$1:$B$6226,0)),"",INDIRECT("'SorP'!$A$"&amp;MATCH($S130&amp;$J130,SorP!C:C,0))))</f>
        <v/>
      </c>
      <c r="U130" s="168"/>
      <c r="V130" s="169" t="e">
        <f>IF(C130="",NA(),MATCH($B130&amp;$C130,'Smelter Look-up'!$J:$J,0))</f>
        <v>#N/A</v>
      </c>
      <c r="X130" s="170">
        <f t="shared" ca="1" si="13"/>
        <v>0</v>
      </c>
      <c r="AB130" s="313" t="str">
        <f t="shared" si="10"/>
        <v/>
      </c>
      <c r="AC130" s="170" t="str">
        <f t="shared" si="11"/>
        <v/>
      </c>
      <c r="AD130" s="170" t="str">
        <f t="shared" si="12"/>
        <v/>
      </c>
    </row>
    <row r="131" spans="1:30" s="170" customFormat="1" ht="20.399999999999999">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4"/>
        <v/>
      </c>
      <c r="T131" s="155" t="str">
        <f ca="1">IF(B131="","",IF(ISERROR(MATCH($J131,SorP!$B$1:$B$6226,0)),"",INDIRECT("'SorP'!$A$"&amp;MATCH($S131&amp;$J131,SorP!C:C,0))))</f>
        <v/>
      </c>
      <c r="U131" s="168"/>
      <c r="V131" s="169" t="e">
        <f>IF(C131="",NA(),MATCH($B131&amp;$C131,'Smelter Look-up'!$J:$J,0))</f>
        <v>#N/A</v>
      </c>
      <c r="X131" s="170">
        <f t="shared" ca="1" si="13"/>
        <v>0</v>
      </c>
      <c r="AB131" s="313" t="str">
        <f t="shared" si="10"/>
        <v/>
      </c>
      <c r="AC131" s="170" t="str">
        <f t="shared" si="11"/>
        <v/>
      </c>
      <c r="AD131" s="170" t="str">
        <f t="shared" si="12"/>
        <v/>
      </c>
    </row>
    <row r="132" spans="1:30" s="170" customFormat="1" ht="20.399999999999999">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4"/>
        <v/>
      </c>
      <c r="T132" s="155" t="str">
        <f ca="1">IF(B132="","",IF(ISERROR(MATCH($J132,SorP!$B$1:$B$6226,0)),"",INDIRECT("'SorP'!$A$"&amp;MATCH($S132&amp;$J132,SorP!C:C,0))))</f>
        <v/>
      </c>
      <c r="U132" s="168"/>
      <c r="V132" s="169" t="e">
        <f>IF(C132="",NA(),MATCH($B132&amp;$C132,'Smelter Look-up'!$J:$J,0))</f>
        <v>#N/A</v>
      </c>
      <c r="X132" s="170">
        <f t="shared" ca="1" si="13"/>
        <v>0</v>
      </c>
      <c r="AB132" s="313" t="str">
        <f t="shared" si="10"/>
        <v/>
      </c>
      <c r="AC132" s="170" t="str">
        <f t="shared" si="11"/>
        <v/>
      </c>
      <c r="AD132" s="170" t="str">
        <f t="shared" si="12"/>
        <v/>
      </c>
    </row>
    <row r="133" spans="1:30" s="170" customFormat="1" ht="20.399999999999999">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4"/>
        <v/>
      </c>
      <c r="T133" s="155" t="str">
        <f ca="1">IF(B133="","",IF(ISERROR(MATCH($J133,SorP!$B$1:$B$6226,0)),"",INDIRECT("'SorP'!$A$"&amp;MATCH($S133&amp;$J133,SorP!C:C,0))))</f>
        <v/>
      </c>
      <c r="U133" s="168"/>
      <c r="V133" s="169" t="e">
        <f>IF(C133="",NA(),MATCH($B133&amp;$C133,'Smelter Look-up'!$J:$J,0))</f>
        <v>#N/A</v>
      </c>
      <c r="X133" s="170">
        <f t="shared" ca="1" si="13"/>
        <v>0</v>
      </c>
      <c r="AB133" s="313" t="str">
        <f t="shared" si="10"/>
        <v/>
      </c>
      <c r="AC133" s="170" t="str">
        <f t="shared" si="11"/>
        <v/>
      </c>
      <c r="AD133" s="170" t="str">
        <f t="shared" si="12"/>
        <v/>
      </c>
    </row>
    <row r="134" spans="1:30" s="170" customFormat="1" ht="20.399999999999999">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4"/>
        <v/>
      </c>
      <c r="T134" s="155" t="str">
        <f ca="1">IF(B134="","",IF(ISERROR(MATCH($J134,SorP!$B$1:$B$6226,0)),"",INDIRECT("'SorP'!$A$"&amp;MATCH($S134&amp;$J134,SorP!C:C,0))))</f>
        <v/>
      </c>
      <c r="U134" s="168"/>
      <c r="V134" s="169" t="e">
        <f>IF(C134="",NA(),MATCH($B134&amp;$C134,'Smelter Look-up'!$J:$J,0))</f>
        <v>#N/A</v>
      </c>
      <c r="X134" s="170">
        <f t="shared" ca="1" si="13"/>
        <v>0</v>
      </c>
      <c r="AB134" s="313" t="str">
        <f t="shared" ref="AB134:AB197" si="15">IF(C134="","",B134)</f>
        <v/>
      </c>
      <c r="AC134" s="170" t="str">
        <f t="shared" ref="AC134:AC197" si="16">B134</f>
        <v/>
      </c>
      <c r="AD134" s="170" t="str">
        <f t="shared" ref="AD134:AD197" si="17">IF(C134="Smelter not listed",D134,C134)</f>
        <v/>
      </c>
    </row>
    <row r="135" spans="1:30" s="170" customFormat="1" ht="20.399999999999999">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4"/>
        <v/>
      </c>
      <c r="T135" s="155" t="str">
        <f ca="1">IF(B135="","",IF(ISERROR(MATCH($J135,SorP!$B$1:$B$6226,0)),"",INDIRECT("'SorP'!$A$"&amp;MATCH($S135&amp;$J135,SorP!C:C,0))))</f>
        <v/>
      </c>
      <c r="U135" s="168"/>
      <c r="V135" s="169" t="e">
        <f>IF(C135="",NA(),MATCH($B135&amp;$C135,'Smelter Look-up'!$J:$J,0))</f>
        <v>#N/A</v>
      </c>
      <c r="X135" s="170">
        <f t="shared" ca="1" si="13"/>
        <v>0</v>
      </c>
      <c r="AB135" s="313" t="str">
        <f t="shared" si="15"/>
        <v/>
      </c>
      <c r="AC135" s="170" t="str">
        <f t="shared" si="16"/>
        <v/>
      </c>
      <c r="AD135" s="170" t="str">
        <f t="shared" si="17"/>
        <v/>
      </c>
    </row>
    <row r="136" spans="1:30" s="170" customFormat="1" ht="20.399999999999999">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4"/>
        <v/>
      </c>
      <c r="T136" s="155" t="str">
        <f ca="1">IF(B136="","",IF(ISERROR(MATCH($J136,SorP!$B$1:$B$6226,0)),"",INDIRECT("'SorP'!$A$"&amp;MATCH($S136&amp;$J136,SorP!C:C,0))))</f>
        <v/>
      </c>
      <c r="U136" s="168"/>
      <c r="V136" s="169" t="e">
        <f>IF(C136="",NA(),MATCH($B136&amp;$C136,'Smelter Look-up'!$J:$J,0))</f>
        <v>#N/A</v>
      </c>
      <c r="X136" s="170">
        <f t="shared" ca="1" si="13"/>
        <v>0</v>
      </c>
      <c r="AB136" s="313" t="str">
        <f t="shared" si="15"/>
        <v/>
      </c>
      <c r="AC136" s="170" t="str">
        <f t="shared" si="16"/>
        <v/>
      </c>
      <c r="AD136" s="170" t="str">
        <f t="shared" si="17"/>
        <v/>
      </c>
    </row>
    <row r="137" spans="1:30" s="170" customFormat="1" ht="20.399999999999999">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4"/>
        <v/>
      </c>
      <c r="T137" s="155" t="str">
        <f ca="1">IF(B137="","",IF(ISERROR(MATCH($J137,SorP!$B$1:$B$6226,0)),"",INDIRECT("'SorP'!$A$"&amp;MATCH($S137&amp;$J137,SorP!C:C,0))))</f>
        <v/>
      </c>
      <c r="U137" s="168"/>
      <c r="V137" s="169" t="e">
        <f>IF(C137="",NA(),MATCH($B137&amp;$C137,'Smelter Look-up'!$J:$J,0))</f>
        <v>#N/A</v>
      </c>
      <c r="X137" s="170">
        <f t="shared" ca="1" si="13"/>
        <v>0</v>
      </c>
      <c r="AB137" s="313" t="str">
        <f t="shared" si="15"/>
        <v/>
      </c>
      <c r="AC137" s="170" t="str">
        <f t="shared" si="16"/>
        <v/>
      </c>
      <c r="AD137" s="170" t="str">
        <f t="shared" si="17"/>
        <v/>
      </c>
    </row>
    <row r="138" spans="1:30" s="170" customFormat="1" ht="20.399999999999999">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4"/>
        <v/>
      </c>
      <c r="T138" s="155" t="str">
        <f ca="1">IF(B138="","",IF(ISERROR(MATCH($J138,SorP!$B$1:$B$6226,0)),"",INDIRECT("'SorP'!$A$"&amp;MATCH($S138&amp;$J138,SorP!C:C,0))))</f>
        <v/>
      </c>
      <c r="U138" s="168"/>
      <c r="V138" s="169" t="e">
        <f>IF(C138="",NA(),MATCH($B138&amp;$C138,'Smelter Look-up'!$J:$J,0))</f>
        <v>#N/A</v>
      </c>
      <c r="X138" s="170">
        <f t="shared" ca="1" si="13"/>
        <v>0</v>
      </c>
      <c r="AB138" s="313" t="str">
        <f t="shared" si="15"/>
        <v/>
      </c>
      <c r="AC138" s="170" t="str">
        <f t="shared" si="16"/>
        <v/>
      </c>
      <c r="AD138" s="170" t="str">
        <f t="shared" si="17"/>
        <v/>
      </c>
    </row>
    <row r="139" spans="1:30" s="170" customFormat="1" ht="20.399999999999999">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4"/>
        <v/>
      </c>
      <c r="T139" s="155" t="str">
        <f ca="1">IF(B139="","",IF(ISERROR(MATCH($J139,SorP!$B$1:$B$6226,0)),"",INDIRECT("'SorP'!$A$"&amp;MATCH($S139&amp;$J139,SorP!C:C,0))))</f>
        <v/>
      </c>
      <c r="U139" s="168"/>
      <c r="V139" s="169" t="e">
        <f>IF(C139="",NA(),MATCH($B139&amp;$C139,'Smelter Look-up'!$J:$J,0))</f>
        <v>#N/A</v>
      </c>
      <c r="X139" s="170">
        <f t="shared" ca="1" si="13"/>
        <v>0</v>
      </c>
      <c r="AB139" s="313" t="str">
        <f t="shared" si="15"/>
        <v/>
      </c>
      <c r="AC139" s="170" t="str">
        <f t="shared" si="16"/>
        <v/>
      </c>
      <c r="AD139" s="170" t="str">
        <f t="shared" si="17"/>
        <v/>
      </c>
    </row>
    <row r="140" spans="1:30" s="170" customFormat="1" ht="20.399999999999999">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4"/>
        <v/>
      </c>
      <c r="T140" s="155" t="str">
        <f ca="1">IF(B140="","",IF(ISERROR(MATCH($J140,SorP!$B$1:$B$6226,0)),"",INDIRECT("'SorP'!$A$"&amp;MATCH($S140&amp;$J140,SorP!C:C,0))))</f>
        <v/>
      </c>
      <c r="U140" s="168"/>
      <c r="V140" s="169" t="e">
        <f>IF(C140="",NA(),MATCH($B140&amp;$C140,'Smelter Look-up'!$J:$J,0))</f>
        <v>#N/A</v>
      </c>
      <c r="X140" s="170">
        <f t="shared" ca="1" si="13"/>
        <v>0</v>
      </c>
      <c r="AB140" s="313" t="str">
        <f t="shared" si="15"/>
        <v/>
      </c>
      <c r="AC140" s="170" t="str">
        <f t="shared" si="16"/>
        <v/>
      </c>
      <c r="AD140" s="170" t="str">
        <f t="shared" si="17"/>
        <v/>
      </c>
    </row>
    <row r="141" spans="1:30" s="170" customFormat="1" ht="20.399999999999999">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4"/>
        <v/>
      </c>
      <c r="T141" s="155" t="str">
        <f ca="1">IF(B141="","",IF(ISERROR(MATCH($J141,SorP!$B$1:$B$6226,0)),"",INDIRECT("'SorP'!$A$"&amp;MATCH($S141&amp;$J141,SorP!C:C,0))))</f>
        <v/>
      </c>
      <c r="U141" s="168"/>
      <c r="V141" s="169" t="e">
        <f>IF(C141="",NA(),MATCH($B141&amp;$C141,'Smelter Look-up'!$J:$J,0))</f>
        <v>#N/A</v>
      </c>
      <c r="X141" s="170">
        <f t="shared" ca="1" si="13"/>
        <v>0</v>
      </c>
      <c r="AB141" s="313" t="str">
        <f t="shared" si="15"/>
        <v/>
      </c>
      <c r="AC141" s="170" t="str">
        <f t="shared" si="16"/>
        <v/>
      </c>
      <c r="AD141" s="170" t="str">
        <f t="shared" si="17"/>
        <v/>
      </c>
    </row>
    <row r="142" spans="1:30" s="170" customFormat="1" ht="20.399999999999999">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4"/>
        <v/>
      </c>
      <c r="T142" s="155" t="str">
        <f ca="1">IF(B142="","",IF(ISERROR(MATCH($J142,SorP!$B$1:$B$6226,0)),"",INDIRECT("'SorP'!$A$"&amp;MATCH($S142&amp;$J142,SorP!C:C,0))))</f>
        <v/>
      </c>
      <c r="U142" s="168"/>
      <c r="V142" s="169" t="e">
        <f>IF(C142="",NA(),MATCH($B142&amp;$C142,'Smelter Look-up'!$J:$J,0))</f>
        <v>#N/A</v>
      </c>
      <c r="X142" s="170">
        <f t="shared" ca="1" si="13"/>
        <v>0</v>
      </c>
      <c r="AB142" s="313" t="str">
        <f t="shared" si="15"/>
        <v/>
      </c>
      <c r="AC142" s="170" t="str">
        <f t="shared" si="16"/>
        <v/>
      </c>
      <c r="AD142" s="170" t="str">
        <f t="shared" si="17"/>
        <v/>
      </c>
    </row>
    <row r="143" spans="1:30" s="170" customFormat="1" ht="20.399999999999999">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4"/>
        <v/>
      </c>
      <c r="T143" s="155" t="str">
        <f ca="1">IF(B143="","",IF(ISERROR(MATCH($J143,SorP!$B$1:$B$6226,0)),"",INDIRECT("'SorP'!$A$"&amp;MATCH($S143&amp;$J143,SorP!C:C,0))))</f>
        <v/>
      </c>
      <c r="U143" s="168"/>
      <c r="V143" s="169" t="e">
        <f>IF(C143="",NA(),MATCH($B143&amp;$C143,'Smelter Look-up'!$J:$J,0))</f>
        <v>#N/A</v>
      </c>
      <c r="X143" s="170">
        <f t="shared" ca="1" si="13"/>
        <v>0</v>
      </c>
      <c r="AB143" s="313" t="str">
        <f t="shared" si="15"/>
        <v/>
      </c>
      <c r="AC143" s="170" t="str">
        <f t="shared" si="16"/>
        <v/>
      </c>
      <c r="AD143" s="170" t="str">
        <f t="shared" si="17"/>
        <v/>
      </c>
    </row>
    <row r="144" spans="1:30" s="170" customFormat="1" ht="20.399999999999999">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4"/>
        <v/>
      </c>
      <c r="T144" s="155" t="str">
        <f ca="1">IF(B144="","",IF(ISERROR(MATCH($J144,SorP!$B$1:$B$6226,0)),"",INDIRECT("'SorP'!$A$"&amp;MATCH($S144&amp;$J144,SorP!C:C,0))))</f>
        <v/>
      </c>
      <c r="U144" s="168"/>
      <c r="V144" s="169" t="e">
        <f>IF(C144="",NA(),MATCH($B144&amp;$C144,'Smelter Look-up'!$J:$J,0))</f>
        <v>#N/A</v>
      </c>
      <c r="X144" s="170">
        <f t="shared" ca="1" si="13"/>
        <v>0</v>
      </c>
      <c r="AB144" s="313" t="str">
        <f t="shared" si="15"/>
        <v/>
      </c>
      <c r="AC144" s="170" t="str">
        <f t="shared" si="16"/>
        <v/>
      </c>
      <c r="AD144" s="170" t="str">
        <f t="shared" si="17"/>
        <v/>
      </c>
    </row>
    <row r="145" spans="1:30" s="170" customFormat="1" ht="20.399999999999999">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4"/>
        <v/>
      </c>
      <c r="T145" s="155" t="str">
        <f ca="1">IF(B145="","",IF(ISERROR(MATCH($J145,SorP!$B$1:$B$6226,0)),"",INDIRECT("'SorP'!$A$"&amp;MATCH($S145&amp;$J145,SorP!C:C,0))))</f>
        <v/>
      </c>
      <c r="U145" s="168"/>
      <c r="V145" s="169" t="e">
        <f>IF(C145="",NA(),MATCH($B145&amp;$C145,'Smelter Look-up'!$J:$J,0))</f>
        <v>#N/A</v>
      </c>
      <c r="X145" s="170">
        <f t="shared" ca="1" si="13"/>
        <v>0</v>
      </c>
      <c r="AB145" s="313" t="str">
        <f t="shared" si="15"/>
        <v/>
      </c>
      <c r="AC145" s="170" t="str">
        <f t="shared" si="16"/>
        <v/>
      </c>
      <c r="AD145" s="170" t="str">
        <f t="shared" si="17"/>
        <v/>
      </c>
    </row>
    <row r="146" spans="1:30" s="170" customFormat="1" ht="20.399999999999999">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4"/>
        <v/>
      </c>
      <c r="T146" s="155" t="str">
        <f ca="1">IF(B146="","",IF(ISERROR(MATCH($J146,SorP!$B$1:$B$6226,0)),"",INDIRECT("'SorP'!$A$"&amp;MATCH($S146&amp;$J146,SorP!C:C,0))))</f>
        <v/>
      </c>
      <c r="U146" s="168"/>
      <c r="V146" s="169" t="e">
        <f>IF(C146="",NA(),MATCH($B146&amp;$C146,'Smelter Look-up'!$J:$J,0))</f>
        <v>#N/A</v>
      </c>
      <c r="X146" s="170">
        <f t="shared" ca="1" si="13"/>
        <v>0</v>
      </c>
      <c r="AB146" s="313" t="str">
        <f t="shared" si="15"/>
        <v/>
      </c>
      <c r="AC146" s="170" t="str">
        <f t="shared" si="16"/>
        <v/>
      </c>
      <c r="AD146" s="170" t="str">
        <f t="shared" si="17"/>
        <v/>
      </c>
    </row>
    <row r="147" spans="1:30" s="170" customFormat="1" ht="20.399999999999999">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4"/>
        <v/>
      </c>
      <c r="T147" s="155" t="str">
        <f ca="1">IF(B147="","",IF(ISERROR(MATCH($J147,SorP!$B$1:$B$6226,0)),"",INDIRECT("'SorP'!$A$"&amp;MATCH($S147&amp;$J147,SorP!C:C,0))))</f>
        <v/>
      </c>
      <c r="U147" s="168"/>
      <c r="V147" s="169" t="e">
        <f>IF(C147="",NA(),MATCH($B147&amp;$C147,'Smelter Look-up'!$J:$J,0))</f>
        <v>#N/A</v>
      </c>
      <c r="X147" s="170">
        <f t="shared" ca="1" si="13"/>
        <v>0</v>
      </c>
      <c r="AB147" s="313" t="str">
        <f t="shared" si="15"/>
        <v/>
      </c>
      <c r="AC147" s="170" t="str">
        <f t="shared" si="16"/>
        <v/>
      </c>
      <c r="AD147" s="170" t="str">
        <f t="shared" si="17"/>
        <v/>
      </c>
    </row>
    <row r="148" spans="1:30" s="170" customFormat="1" ht="20.399999999999999">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4"/>
        <v/>
      </c>
      <c r="T148" s="155" t="str">
        <f ca="1">IF(B148="","",IF(ISERROR(MATCH($J148,SorP!$B$1:$B$6226,0)),"",INDIRECT("'SorP'!$A$"&amp;MATCH($S148&amp;$J148,SorP!C:C,0))))</f>
        <v/>
      </c>
      <c r="U148" s="168"/>
      <c r="V148" s="169" t="e">
        <f>IF(C148="",NA(),MATCH($B148&amp;$C148,'Smelter Look-up'!$J:$J,0))</f>
        <v>#N/A</v>
      </c>
      <c r="X148" s="170">
        <f t="shared" ca="1" si="13"/>
        <v>0</v>
      </c>
      <c r="AB148" s="313" t="str">
        <f t="shared" si="15"/>
        <v/>
      </c>
      <c r="AC148" s="170" t="str">
        <f t="shared" si="16"/>
        <v/>
      </c>
      <c r="AD148" s="170" t="str">
        <f t="shared" si="17"/>
        <v/>
      </c>
    </row>
    <row r="149" spans="1:30" s="170" customFormat="1" ht="20.399999999999999">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4"/>
        <v/>
      </c>
      <c r="T149" s="155" t="str">
        <f ca="1">IF(B149="","",IF(ISERROR(MATCH($J149,SorP!$B$1:$B$6226,0)),"",INDIRECT("'SorP'!$A$"&amp;MATCH($S149&amp;$J149,SorP!C:C,0))))</f>
        <v/>
      </c>
      <c r="U149" s="168"/>
      <c r="V149" s="169" t="e">
        <f>IF(C149="",NA(),MATCH($B149&amp;$C149,'Smelter Look-up'!$J:$J,0))</f>
        <v>#N/A</v>
      </c>
      <c r="X149" s="170">
        <f t="shared" ca="1" si="13"/>
        <v>0</v>
      </c>
      <c r="AB149" s="313" t="str">
        <f t="shared" si="15"/>
        <v/>
      </c>
      <c r="AC149" s="170" t="str">
        <f t="shared" si="16"/>
        <v/>
      </c>
      <c r="AD149" s="170" t="str">
        <f t="shared" si="17"/>
        <v/>
      </c>
    </row>
    <row r="150" spans="1:30" s="170" customFormat="1" ht="20.399999999999999">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4"/>
        <v/>
      </c>
      <c r="T150" s="155" t="str">
        <f ca="1">IF(B150="","",IF(ISERROR(MATCH($J150,SorP!$B$1:$B$6226,0)),"",INDIRECT("'SorP'!$A$"&amp;MATCH($S150&amp;$J150,SorP!C:C,0))))</f>
        <v/>
      </c>
      <c r="U150" s="168"/>
      <c r="V150" s="169" t="e">
        <f>IF(C150="",NA(),MATCH($B150&amp;$C150,'Smelter Look-up'!$J:$J,0))</f>
        <v>#N/A</v>
      </c>
      <c r="X150" s="170">
        <f t="shared" ca="1" si="13"/>
        <v>0</v>
      </c>
      <c r="AB150" s="313" t="str">
        <f t="shared" si="15"/>
        <v/>
      </c>
      <c r="AC150" s="170" t="str">
        <f t="shared" si="16"/>
        <v/>
      </c>
      <c r="AD150" s="170" t="str">
        <f t="shared" si="17"/>
        <v/>
      </c>
    </row>
    <row r="151" spans="1:30" s="170" customFormat="1" ht="20.399999999999999">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4"/>
        <v/>
      </c>
      <c r="T151" s="155" t="str">
        <f ca="1">IF(B151="","",IF(ISERROR(MATCH($J151,SorP!$B$1:$B$6226,0)),"",INDIRECT("'SorP'!$A$"&amp;MATCH($S151&amp;$J151,SorP!C:C,0))))</f>
        <v/>
      </c>
      <c r="U151" s="168"/>
      <c r="V151" s="169" t="e">
        <f>IF(C151="",NA(),MATCH($B151&amp;$C151,'Smelter Look-up'!$J:$J,0))</f>
        <v>#N/A</v>
      </c>
      <c r="X151" s="170">
        <f t="shared" ca="1" si="13"/>
        <v>0</v>
      </c>
      <c r="AB151" s="313" t="str">
        <f t="shared" si="15"/>
        <v/>
      </c>
      <c r="AC151" s="170" t="str">
        <f t="shared" si="16"/>
        <v/>
      </c>
      <c r="AD151" s="170" t="str">
        <f t="shared" si="17"/>
        <v/>
      </c>
    </row>
    <row r="152" spans="1:30" s="170" customFormat="1" ht="20.399999999999999">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4"/>
        <v/>
      </c>
      <c r="T152" s="155" t="str">
        <f ca="1">IF(B152="","",IF(ISERROR(MATCH($J152,SorP!$B$1:$B$6226,0)),"",INDIRECT("'SorP'!$A$"&amp;MATCH($S152&amp;$J152,SorP!C:C,0))))</f>
        <v/>
      </c>
      <c r="U152" s="168"/>
      <c r="V152" s="169" t="e">
        <f>IF(C152="",NA(),MATCH($B152&amp;$C152,'Smelter Look-up'!$J:$J,0))</f>
        <v>#N/A</v>
      </c>
      <c r="X152" s="170">
        <f t="shared" ca="1" si="13"/>
        <v>0</v>
      </c>
      <c r="AB152" s="313" t="str">
        <f t="shared" si="15"/>
        <v/>
      </c>
      <c r="AC152" s="170" t="str">
        <f t="shared" si="16"/>
        <v/>
      </c>
      <c r="AD152" s="170" t="str">
        <f t="shared" si="17"/>
        <v/>
      </c>
    </row>
    <row r="153" spans="1:30" s="170" customFormat="1" ht="20.399999999999999">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4"/>
        <v/>
      </c>
      <c r="T153" s="155" t="str">
        <f ca="1">IF(B153="","",IF(ISERROR(MATCH($J153,SorP!$B$1:$B$6226,0)),"",INDIRECT("'SorP'!$A$"&amp;MATCH($S153&amp;$J153,SorP!C:C,0))))</f>
        <v/>
      </c>
      <c r="U153" s="168"/>
      <c r="V153" s="169" t="e">
        <f>IF(C153="",NA(),MATCH($B153&amp;$C153,'Smelter Look-up'!$J:$J,0))</f>
        <v>#N/A</v>
      </c>
      <c r="X153" s="170">
        <f t="shared" ca="1" si="13"/>
        <v>0</v>
      </c>
      <c r="AB153" s="313" t="str">
        <f t="shared" si="15"/>
        <v/>
      </c>
      <c r="AC153" s="170" t="str">
        <f t="shared" si="16"/>
        <v/>
      </c>
      <c r="AD153" s="170" t="str">
        <f t="shared" si="17"/>
        <v/>
      </c>
    </row>
    <row r="154" spans="1:30" s="170" customFormat="1" ht="20.399999999999999">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4"/>
        <v/>
      </c>
      <c r="T154" s="155" t="str">
        <f ca="1">IF(B154="","",IF(ISERROR(MATCH($J154,SorP!$B$1:$B$6226,0)),"",INDIRECT("'SorP'!$A$"&amp;MATCH($S154&amp;$J154,SorP!C:C,0))))</f>
        <v/>
      </c>
      <c r="U154" s="168"/>
      <c r="V154" s="169" t="e">
        <f>IF(C154="",NA(),MATCH($B154&amp;$C154,'Smelter Look-up'!$J:$J,0))</f>
        <v>#N/A</v>
      </c>
      <c r="X154" s="170">
        <f t="shared" ca="1" si="13"/>
        <v>0</v>
      </c>
      <c r="AB154" s="313" t="str">
        <f t="shared" si="15"/>
        <v/>
      </c>
      <c r="AC154" s="170" t="str">
        <f t="shared" si="16"/>
        <v/>
      </c>
      <c r="AD154" s="170" t="str">
        <f t="shared" si="17"/>
        <v/>
      </c>
    </row>
    <row r="155" spans="1:30" s="170" customFormat="1" ht="20.399999999999999">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4"/>
        <v/>
      </c>
      <c r="T155" s="155" t="str">
        <f ca="1">IF(B155="","",IF(ISERROR(MATCH($J155,SorP!$B$1:$B$6226,0)),"",INDIRECT("'SorP'!$A$"&amp;MATCH($S155&amp;$J155,SorP!C:C,0))))</f>
        <v/>
      </c>
      <c r="U155" s="168"/>
      <c r="V155" s="169" t="e">
        <f>IF(C155="",NA(),MATCH($B155&amp;$C155,'Smelter Look-up'!$J:$J,0))</f>
        <v>#N/A</v>
      </c>
      <c r="X155" s="170">
        <f t="shared" ca="1" si="13"/>
        <v>0</v>
      </c>
      <c r="AB155" s="313" t="str">
        <f t="shared" si="15"/>
        <v/>
      </c>
      <c r="AC155" s="170" t="str">
        <f t="shared" si="16"/>
        <v/>
      </c>
      <c r="AD155" s="170" t="str">
        <f t="shared" si="17"/>
        <v/>
      </c>
    </row>
    <row r="156" spans="1:30" s="170" customFormat="1" ht="20.399999999999999">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4"/>
        <v/>
      </c>
      <c r="T156" s="155" t="str">
        <f ca="1">IF(B156="","",IF(ISERROR(MATCH($J156,SorP!$B$1:$B$6226,0)),"",INDIRECT("'SorP'!$A$"&amp;MATCH($S156&amp;$J156,SorP!C:C,0))))</f>
        <v/>
      </c>
      <c r="U156" s="168"/>
      <c r="V156" s="169" t="e">
        <f>IF(C156="",NA(),MATCH($B156&amp;$C156,'Smelter Look-up'!$J:$J,0))</f>
        <v>#N/A</v>
      </c>
      <c r="X156" s="170">
        <f t="shared" ca="1" si="13"/>
        <v>0</v>
      </c>
      <c r="AB156" s="313" t="str">
        <f t="shared" si="15"/>
        <v/>
      </c>
      <c r="AC156" s="170" t="str">
        <f t="shared" si="16"/>
        <v/>
      </c>
      <c r="AD156" s="170" t="str">
        <f t="shared" si="17"/>
        <v/>
      </c>
    </row>
    <row r="157" spans="1:30" s="170" customFormat="1" ht="20.399999999999999">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4"/>
        <v/>
      </c>
      <c r="T157" s="155" t="str">
        <f ca="1">IF(B157="","",IF(ISERROR(MATCH($J157,SorP!$B$1:$B$6226,0)),"",INDIRECT("'SorP'!$A$"&amp;MATCH($S157&amp;$J157,SorP!C:C,0))))</f>
        <v/>
      </c>
      <c r="U157" s="168"/>
      <c r="V157" s="169" t="e">
        <f>IF(C157="",NA(),MATCH($B157&amp;$C157,'Smelter Look-up'!$J:$J,0))</f>
        <v>#N/A</v>
      </c>
      <c r="X157" s="170">
        <f t="shared" ca="1" si="13"/>
        <v>0</v>
      </c>
      <c r="AB157" s="313" t="str">
        <f t="shared" si="15"/>
        <v/>
      </c>
      <c r="AC157" s="170" t="str">
        <f t="shared" si="16"/>
        <v/>
      </c>
      <c r="AD157" s="170" t="str">
        <f t="shared" si="17"/>
        <v/>
      </c>
    </row>
    <row r="158" spans="1:30" s="170" customFormat="1" ht="20.399999999999999">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4"/>
        <v/>
      </c>
      <c r="T158" s="155" t="str">
        <f ca="1">IF(B158="","",IF(ISERROR(MATCH($J158,SorP!$B$1:$B$6226,0)),"",INDIRECT("'SorP'!$A$"&amp;MATCH($S158&amp;$J158,SorP!C:C,0))))</f>
        <v/>
      </c>
      <c r="U158" s="168"/>
      <c r="V158" s="169" t="e">
        <f>IF(C158="",NA(),MATCH($B158&amp;$C158,'Smelter Look-up'!$J:$J,0))</f>
        <v>#N/A</v>
      </c>
      <c r="X158" s="170">
        <f t="shared" ca="1" si="13"/>
        <v>0</v>
      </c>
      <c r="AB158" s="313" t="str">
        <f t="shared" si="15"/>
        <v/>
      </c>
      <c r="AC158" s="170" t="str">
        <f t="shared" si="16"/>
        <v/>
      </c>
      <c r="AD158" s="170" t="str">
        <f t="shared" si="17"/>
        <v/>
      </c>
    </row>
    <row r="159" spans="1:30" s="170" customFormat="1" ht="20.399999999999999">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3" t="str">
        <f t="shared" si="15"/>
        <v/>
      </c>
      <c r="AC159" s="170" t="str">
        <f t="shared" si="16"/>
        <v/>
      </c>
      <c r="AD159" s="170" t="str">
        <f t="shared" si="17"/>
        <v/>
      </c>
    </row>
    <row r="160" spans="1:30" s="170" customFormat="1" ht="20.399999999999999">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3" t="str">
        <f t="shared" si="15"/>
        <v/>
      </c>
      <c r="AC160" s="170" t="str">
        <f t="shared" si="16"/>
        <v/>
      </c>
      <c r="AD160" s="170" t="str">
        <f t="shared" si="17"/>
        <v/>
      </c>
    </row>
    <row r="161" spans="1:30" s="170" customFormat="1" ht="20.399999999999999">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3" t="str">
        <f t="shared" si="15"/>
        <v/>
      </c>
      <c r="AC161" s="170" t="str">
        <f t="shared" si="16"/>
        <v/>
      </c>
      <c r="AD161" s="170" t="str">
        <f t="shared" si="17"/>
        <v/>
      </c>
    </row>
    <row r="162" spans="1:30" s="170" customFormat="1" ht="20.399999999999999">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ca="1" si="13"/>
        <v>0</v>
      </c>
      <c r="AB162" s="313" t="str">
        <f t="shared" si="15"/>
        <v/>
      </c>
      <c r="AC162" s="170" t="str">
        <f t="shared" si="16"/>
        <v/>
      </c>
      <c r="AD162" s="170" t="str">
        <f t="shared" si="17"/>
        <v/>
      </c>
    </row>
    <row r="163" spans="1:30" s="170" customFormat="1" ht="20.399999999999999">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4"/>
        <v/>
      </c>
      <c r="T163" s="155" t="str">
        <f ca="1">IF(B163="","",IF(ISERROR(MATCH($J163,SorP!$B$1:$B$6226,0)),"",INDIRECT("'SorP'!$A$"&amp;MATCH($S163&amp;$J163,SorP!C:C,0))))</f>
        <v/>
      </c>
      <c r="U163" s="168"/>
      <c r="V163" s="169" t="e">
        <f>IF(C163="",NA(),MATCH($B163&amp;$C163,'Smelter Look-up'!$J:$J,0))</f>
        <v>#N/A</v>
      </c>
      <c r="X163" s="170">
        <f t="shared" ca="1" si="13"/>
        <v>0</v>
      </c>
      <c r="AB163" s="313" t="str">
        <f t="shared" si="15"/>
        <v/>
      </c>
      <c r="AC163" s="170" t="str">
        <f t="shared" si="16"/>
        <v/>
      </c>
      <c r="AD163" s="170" t="str">
        <f t="shared" si="17"/>
        <v/>
      </c>
    </row>
    <row r="164" spans="1:30" s="170" customFormat="1" ht="20.399999999999999">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4"/>
        <v/>
      </c>
      <c r="T164" s="155" t="str">
        <f ca="1">IF(B164="","",IF(ISERROR(MATCH($J164,SorP!$B$1:$B$6226,0)),"",INDIRECT("'SorP'!$A$"&amp;MATCH($S164&amp;$J164,SorP!C:C,0))))</f>
        <v/>
      </c>
      <c r="U164" s="168"/>
      <c r="V164" s="169" t="e">
        <f>IF(C164="",NA(),MATCH($B164&amp;$C164,'Smelter Look-up'!$J:$J,0))</f>
        <v>#N/A</v>
      </c>
      <c r="X164" s="170">
        <f t="shared" ca="1" si="13"/>
        <v>0</v>
      </c>
      <c r="AB164" s="313" t="str">
        <f t="shared" si="15"/>
        <v/>
      </c>
      <c r="AC164" s="170" t="str">
        <f t="shared" si="16"/>
        <v/>
      </c>
      <c r="AD164" s="170" t="str">
        <f t="shared" si="17"/>
        <v/>
      </c>
    </row>
    <row r="165" spans="1:30" s="170" customFormat="1" ht="20.399999999999999">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4"/>
        <v/>
      </c>
      <c r="T165" s="155" t="str">
        <f ca="1">IF(B165="","",IF(ISERROR(MATCH($J165,SorP!$B$1:$B$6226,0)),"",INDIRECT("'SorP'!$A$"&amp;MATCH($S165&amp;$J165,SorP!C:C,0))))</f>
        <v/>
      </c>
      <c r="U165" s="168"/>
      <c r="V165" s="169" t="e">
        <f>IF(C165="",NA(),MATCH($B165&amp;$C165,'Smelter Look-up'!$J:$J,0))</f>
        <v>#N/A</v>
      </c>
      <c r="X165" s="170">
        <f t="shared" ca="1" si="13"/>
        <v>0</v>
      </c>
      <c r="AB165" s="313" t="str">
        <f t="shared" si="15"/>
        <v/>
      </c>
      <c r="AC165" s="170" t="str">
        <f t="shared" si="16"/>
        <v/>
      </c>
      <c r="AD165" s="170" t="str">
        <f t="shared" si="17"/>
        <v/>
      </c>
    </row>
    <row r="166" spans="1:30" s="170" customFormat="1" ht="20.399999999999999">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4"/>
        <v/>
      </c>
      <c r="T166" s="155" t="str">
        <f ca="1">IF(B166="","",IF(ISERROR(MATCH($J166,SorP!$B$1:$B$6226,0)),"",INDIRECT("'SorP'!$A$"&amp;MATCH($S166&amp;$J166,SorP!C:C,0))))</f>
        <v/>
      </c>
      <c r="U166" s="168"/>
      <c r="V166" s="169" t="e">
        <f>IF(C166="",NA(),MATCH($B166&amp;$C166,'Smelter Look-up'!$J:$J,0))</f>
        <v>#N/A</v>
      </c>
      <c r="X166" s="170">
        <f t="shared" ca="1" si="13"/>
        <v>0</v>
      </c>
      <c r="AB166" s="313" t="str">
        <f t="shared" si="15"/>
        <v/>
      </c>
      <c r="AC166" s="170" t="str">
        <f t="shared" si="16"/>
        <v/>
      </c>
      <c r="AD166" s="170" t="str">
        <f t="shared" si="17"/>
        <v/>
      </c>
    </row>
    <row r="167" spans="1:30" s="170" customFormat="1" ht="20.399999999999999">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4"/>
        <v/>
      </c>
      <c r="T167" s="155" t="str">
        <f ca="1">IF(B167="","",IF(ISERROR(MATCH($J167,SorP!$B$1:$B$6226,0)),"",INDIRECT("'SorP'!$A$"&amp;MATCH($S167&amp;$J167,SorP!C:C,0))))</f>
        <v/>
      </c>
      <c r="U167" s="168"/>
      <c r="V167" s="169" t="e">
        <f>IF(C167="",NA(),MATCH($B167&amp;$C167,'Smelter Look-up'!$J:$J,0))</f>
        <v>#N/A</v>
      </c>
      <c r="X167" s="170">
        <f t="shared" ca="1" si="13"/>
        <v>0</v>
      </c>
      <c r="AB167" s="313" t="str">
        <f t="shared" si="15"/>
        <v/>
      </c>
      <c r="AC167" s="170" t="str">
        <f t="shared" si="16"/>
        <v/>
      </c>
      <c r="AD167" s="170" t="str">
        <f t="shared" si="17"/>
        <v/>
      </c>
    </row>
    <row r="168" spans="1:30" s="170" customFormat="1" ht="20.399999999999999">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4"/>
        <v/>
      </c>
      <c r="T168" s="155" t="str">
        <f ca="1">IF(B168="","",IF(ISERROR(MATCH($J168,SorP!$B$1:$B$6226,0)),"",INDIRECT("'SorP'!$A$"&amp;MATCH($S168&amp;$J168,SorP!C:C,0))))</f>
        <v/>
      </c>
      <c r="U168" s="168"/>
      <c r="V168" s="169" t="e">
        <f>IF(C168="",NA(),MATCH($B168&amp;$C168,'Smelter Look-up'!$J:$J,0))</f>
        <v>#N/A</v>
      </c>
      <c r="X168" s="170">
        <f t="shared" ca="1" si="13"/>
        <v>0</v>
      </c>
      <c r="AB168" s="313" t="str">
        <f t="shared" si="15"/>
        <v/>
      </c>
      <c r="AC168" s="170" t="str">
        <f t="shared" si="16"/>
        <v/>
      </c>
      <c r="AD168" s="170" t="str">
        <f t="shared" si="17"/>
        <v/>
      </c>
    </row>
    <row r="169" spans="1:30" s="170" customFormat="1" ht="20.399999999999999">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4"/>
        <v/>
      </c>
      <c r="T169" s="155" t="str">
        <f ca="1">IF(B169="","",IF(ISERROR(MATCH($J169,SorP!$B$1:$B$6226,0)),"",INDIRECT("'SorP'!$A$"&amp;MATCH($S169&amp;$J169,SorP!C:C,0))))</f>
        <v/>
      </c>
      <c r="U169" s="168"/>
      <c r="V169" s="169" t="e">
        <f>IF(C169="",NA(),MATCH($B169&amp;$C169,'Smelter Look-up'!$J:$J,0))</f>
        <v>#N/A</v>
      </c>
      <c r="X169" s="170">
        <f t="shared" ca="1" si="13"/>
        <v>0</v>
      </c>
      <c r="AB169" s="313" t="str">
        <f t="shared" si="15"/>
        <v/>
      </c>
      <c r="AC169" s="170" t="str">
        <f t="shared" si="16"/>
        <v/>
      </c>
      <c r="AD169" s="170" t="str">
        <f t="shared" si="17"/>
        <v/>
      </c>
    </row>
    <row r="170" spans="1:30" s="170" customFormat="1" ht="20.399999999999999">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4"/>
        <v/>
      </c>
      <c r="T170" s="155" t="str">
        <f ca="1">IF(B170="","",IF(ISERROR(MATCH($J170,SorP!$B$1:$B$6226,0)),"",INDIRECT("'SorP'!$A$"&amp;MATCH($S170&amp;$J170,SorP!C:C,0))))</f>
        <v/>
      </c>
      <c r="U170" s="168"/>
      <c r="V170" s="169" t="e">
        <f>IF(C170="",NA(),MATCH($B170&amp;$C170,'Smelter Look-up'!$J:$J,0))</f>
        <v>#N/A</v>
      </c>
      <c r="X170" s="170">
        <f t="shared" ca="1" si="13"/>
        <v>0</v>
      </c>
      <c r="AB170" s="313" t="str">
        <f t="shared" si="15"/>
        <v/>
      </c>
      <c r="AC170" s="170" t="str">
        <f t="shared" si="16"/>
        <v/>
      </c>
      <c r="AD170" s="170" t="str">
        <f t="shared" si="17"/>
        <v/>
      </c>
    </row>
    <row r="171" spans="1:30" s="170" customFormat="1" ht="20.399999999999999">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4"/>
        <v/>
      </c>
      <c r="T171" s="155" t="str">
        <f ca="1">IF(B171="","",IF(ISERROR(MATCH($J171,SorP!$B$1:$B$6226,0)),"",INDIRECT("'SorP'!$A$"&amp;MATCH($S171&amp;$J171,SorP!C:C,0))))</f>
        <v/>
      </c>
      <c r="U171" s="168"/>
      <c r="V171" s="169" t="e">
        <f>IF(C171="",NA(),MATCH($B171&amp;$C171,'Smelter Look-up'!$J:$J,0))</f>
        <v>#N/A</v>
      </c>
      <c r="X171" s="170">
        <f t="shared" ca="1" si="13"/>
        <v>0</v>
      </c>
      <c r="AB171" s="313" t="str">
        <f t="shared" si="15"/>
        <v/>
      </c>
      <c r="AC171" s="170" t="str">
        <f t="shared" si="16"/>
        <v/>
      </c>
      <c r="AD171" s="170" t="str">
        <f t="shared" si="17"/>
        <v/>
      </c>
    </row>
    <row r="172" spans="1:30" s="170" customFormat="1" ht="20.399999999999999">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4"/>
        <v/>
      </c>
      <c r="T172" s="155" t="str">
        <f ca="1">IF(B172="","",IF(ISERROR(MATCH($J172,SorP!$B$1:$B$6226,0)),"",INDIRECT("'SorP'!$A$"&amp;MATCH($S172&amp;$J172,SorP!C:C,0))))</f>
        <v/>
      </c>
      <c r="U172" s="168"/>
      <c r="V172" s="169" t="e">
        <f>IF(C172="",NA(),MATCH($B172&amp;$C172,'Smelter Look-up'!$J:$J,0))</f>
        <v>#N/A</v>
      </c>
      <c r="X172" s="170">
        <f t="shared" ca="1" si="13"/>
        <v>0</v>
      </c>
      <c r="AB172" s="313" t="str">
        <f t="shared" si="15"/>
        <v/>
      </c>
      <c r="AC172" s="170" t="str">
        <f t="shared" si="16"/>
        <v/>
      </c>
      <c r="AD172" s="170" t="str">
        <f t="shared" si="17"/>
        <v/>
      </c>
    </row>
    <row r="173" spans="1:30" s="170" customFormat="1" ht="20.399999999999999">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4"/>
        <v/>
      </c>
      <c r="T173" s="155" t="str">
        <f ca="1">IF(B173="","",IF(ISERROR(MATCH($J173,SorP!$B$1:$B$6226,0)),"",INDIRECT("'SorP'!$A$"&amp;MATCH($S173&amp;$J173,SorP!C:C,0))))</f>
        <v/>
      </c>
      <c r="U173" s="168"/>
      <c r="V173" s="169" t="e">
        <f>IF(C173="",NA(),MATCH($B173&amp;$C173,'Smelter Look-up'!$J:$J,0))</f>
        <v>#N/A</v>
      </c>
      <c r="X173" s="170">
        <f t="shared" ca="1" si="13"/>
        <v>0</v>
      </c>
      <c r="AB173" s="313" t="str">
        <f t="shared" si="15"/>
        <v/>
      </c>
      <c r="AC173" s="170" t="str">
        <f t="shared" si="16"/>
        <v/>
      </c>
      <c r="AD173" s="170" t="str">
        <f t="shared" si="17"/>
        <v/>
      </c>
    </row>
    <row r="174" spans="1:30" s="170" customFormat="1" ht="20.399999999999999">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4"/>
        <v/>
      </c>
      <c r="T174" s="155" t="str">
        <f ca="1">IF(B174="","",IF(ISERROR(MATCH($J174,SorP!$B$1:$B$6226,0)),"",INDIRECT("'SorP'!$A$"&amp;MATCH($S174&amp;$J174,SorP!C:C,0))))</f>
        <v/>
      </c>
      <c r="U174" s="168"/>
      <c r="V174" s="169" t="e">
        <f>IF(C174="",NA(),MATCH($B174&amp;$C174,'Smelter Look-up'!$J:$J,0))</f>
        <v>#N/A</v>
      </c>
      <c r="X174" s="170">
        <f t="shared" ca="1" si="13"/>
        <v>0</v>
      </c>
      <c r="AB174" s="313" t="str">
        <f t="shared" si="15"/>
        <v/>
      </c>
      <c r="AC174" s="170" t="str">
        <f t="shared" si="16"/>
        <v/>
      </c>
      <c r="AD174" s="170" t="str">
        <f t="shared" si="17"/>
        <v/>
      </c>
    </row>
    <row r="175" spans="1:30" s="170" customFormat="1" ht="20.399999999999999">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4"/>
        <v/>
      </c>
      <c r="T175" s="155" t="str">
        <f ca="1">IF(B175="","",IF(ISERROR(MATCH($J175,SorP!$B$1:$B$6226,0)),"",INDIRECT("'SorP'!$A$"&amp;MATCH($S175&amp;$J175,SorP!C:C,0))))</f>
        <v/>
      </c>
      <c r="U175" s="168"/>
      <c r="V175" s="169" t="e">
        <f>IF(C175="",NA(),MATCH($B175&amp;$C175,'Smelter Look-up'!$J:$J,0))</f>
        <v>#N/A</v>
      </c>
      <c r="X175" s="170">
        <f t="shared" ca="1" si="13"/>
        <v>0</v>
      </c>
      <c r="AB175" s="313" t="str">
        <f t="shared" si="15"/>
        <v/>
      </c>
      <c r="AC175" s="170" t="str">
        <f t="shared" si="16"/>
        <v/>
      </c>
      <c r="AD175" s="170" t="str">
        <f t="shared" si="17"/>
        <v/>
      </c>
    </row>
    <row r="176" spans="1:30" s="170" customFormat="1" ht="20.399999999999999">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4"/>
        <v/>
      </c>
      <c r="T176" s="155" t="str">
        <f ca="1">IF(B176="","",IF(ISERROR(MATCH($J176,SorP!$B$1:$B$6226,0)),"",INDIRECT("'SorP'!$A$"&amp;MATCH($S176&amp;$J176,SorP!C:C,0))))</f>
        <v/>
      </c>
      <c r="U176" s="168"/>
      <c r="V176" s="169" t="e">
        <f>IF(C176="",NA(),MATCH($B176&amp;$C176,'Smelter Look-up'!$J:$J,0))</f>
        <v>#N/A</v>
      </c>
      <c r="X176" s="170">
        <f t="shared" ca="1" si="13"/>
        <v>0</v>
      </c>
      <c r="AB176" s="313" t="str">
        <f t="shared" si="15"/>
        <v/>
      </c>
      <c r="AC176" s="170" t="str">
        <f t="shared" si="16"/>
        <v/>
      </c>
      <c r="AD176" s="170" t="str">
        <f t="shared" si="17"/>
        <v/>
      </c>
    </row>
    <row r="177" spans="1:30" s="170" customFormat="1" ht="20.399999999999999">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4"/>
        <v/>
      </c>
      <c r="T177" s="155" t="str">
        <f ca="1">IF(B177="","",IF(ISERROR(MATCH($J177,SorP!$B$1:$B$6226,0)),"",INDIRECT("'SorP'!$A$"&amp;MATCH($S177&amp;$J177,SorP!C:C,0))))</f>
        <v/>
      </c>
      <c r="U177" s="168"/>
      <c r="V177" s="169" t="e">
        <f>IF(C177="",NA(),MATCH($B177&amp;$C177,'Smelter Look-up'!$J:$J,0))</f>
        <v>#N/A</v>
      </c>
      <c r="X177" s="170">
        <f t="shared" ca="1" si="13"/>
        <v>0</v>
      </c>
      <c r="AB177" s="313" t="str">
        <f t="shared" si="15"/>
        <v/>
      </c>
      <c r="AC177" s="170" t="str">
        <f t="shared" si="16"/>
        <v/>
      </c>
      <c r="AD177" s="170" t="str">
        <f t="shared" si="17"/>
        <v/>
      </c>
    </row>
    <row r="178" spans="1:30" s="170" customFormat="1" ht="20.399999999999999">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4"/>
        <v/>
      </c>
      <c r="T178" s="155" t="str">
        <f ca="1">IF(B178="","",IF(ISERROR(MATCH($J178,SorP!$B$1:$B$6226,0)),"",INDIRECT("'SorP'!$A$"&amp;MATCH($S178&amp;$J178,SorP!C:C,0))))</f>
        <v/>
      </c>
      <c r="U178" s="168"/>
      <c r="V178" s="169" t="e">
        <f>IF(C178="",NA(),MATCH($B178&amp;$C178,'Smelter Look-up'!$J:$J,0))</f>
        <v>#N/A</v>
      </c>
      <c r="X178" s="170">
        <f t="shared" ca="1" si="13"/>
        <v>0</v>
      </c>
      <c r="AB178" s="313" t="str">
        <f t="shared" si="15"/>
        <v/>
      </c>
      <c r="AC178" s="170" t="str">
        <f t="shared" si="16"/>
        <v/>
      </c>
      <c r="AD178" s="170" t="str">
        <f t="shared" si="17"/>
        <v/>
      </c>
    </row>
    <row r="179" spans="1:30" s="170" customFormat="1" ht="20.399999999999999">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4"/>
        <v/>
      </c>
      <c r="T179" s="155" t="str">
        <f ca="1">IF(B179="","",IF(ISERROR(MATCH($J179,SorP!$B$1:$B$6226,0)),"",INDIRECT("'SorP'!$A$"&amp;MATCH($S179&amp;$J179,SorP!C:C,0))))</f>
        <v/>
      </c>
      <c r="U179" s="168"/>
      <c r="V179" s="169" t="e">
        <f>IF(C179="",NA(),MATCH($B179&amp;$C179,'Smelter Look-up'!$J:$J,0))</f>
        <v>#N/A</v>
      </c>
      <c r="X179" s="170">
        <f t="shared" ca="1" si="13"/>
        <v>0</v>
      </c>
      <c r="AB179" s="313" t="str">
        <f t="shared" si="15"/>
        <v/>
      </c>
      <c r="AC179" s="170" t="str">
        <f t="shared" si="16"/>
        <v/>
      </c>
      <c r="AD179" s="170" t="str">
        <f t="shared" si="17"/>
        <v/>
      </c>
    </row>
    <row r="180" spans="1:30" s="170" customFormat="1" ht="20.399999999999999">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4"/>
        <v/>
      </c>
      <c r="T180" s="155" t="str">
        <f ca="1">IF(B180="","",IF(ISERROR(MATCH($J180,SorP!$B$1:$B$6226,0)),"",INDIRECT("'SorP'!$A$"&amp;MATCH($S180&amp;$J180,SorP!C:C,0))))</f>
        <v/>
      </c>
      <c r="U180" s="168"/>
      <c r="V180" s="169" t="e">
        <f>IF(C180="",NA(),MATCH($B180&amp;$C180,'Smelter Look-up'!$J:$J,0))</f>
        <v>#N/A</v>
      </c>
      <c r="X180" s="170">
        <f t="shared" ca="1" si="13"/>
        <v>0</v>
      </c>
      <c r="AB180" s="313" t="str">
        <f t="shared" si="15"/>
        <v/>
      </c>
      <c r="AC180" s="170" t="str">
        <f t="shared" si="16"/>
        <v/>
      </c>
      <c r="AD180" s="170" t="str">
        <f t="shared" si="17"/>
        <v/>
      </c>
    </row>
    <row r="181" spans="1:30" s="170" customFormat="1" ht="20.399999999999999">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4"/>
        <v/>
      </c>
      <c r="T181" s="155" t="str">
        <f ca="1">IF(B181="","",IF(ISERROR(MATCH($J181,SorP!$B$1:$B$6226,0)),"",INDIRECT("'SorP'!$A$"&amp;MATCH($S181&amp;$J181,SorP!C:C,0))))</f>
        <v/>
      </c>
      <c r="U181" s="168"/>
      <c r="V181" s="169" t="e">
        <f>IF(C181="",NA(),MATCH($B181&amp;$C181,'Smelter Look-up'!$J:$J,0))</f>
        <v>#N/A</v>
      </c>
      <c r="X181" s="170">
        <f t="shared" ca="1" si="13"/>
        <v>0</v>
      </c>
      <c r="AB181" s="313" t="str">
        <f t="shared" si="15"/>
        <v/>
      </c>
      <c r="AC181" s="170" t="str">
        <f t="shared" si="16"/>
        <v/>
      </c>
      <c r="AD181" s="170" t="str">
        <f t="shared" si="17"/>
        <v/>
      </c>
    </row>
    <row r="182" spans="1:30" s="170" customFormat="1" ht="20.399999999999999">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4"/>
        <v/>
      </c>
      <c r="T182" s="155" t="str">
        <f ca="1">IF(B182="","",IF(ISERROR(MATCH($J182,SorP!$B$1:$B$6226,0)),"",INDIRECT("'SorP'!$A$"&amp;MATCH($S182&amp;$J182,SorP!C:C,0))))</f>
        <v/>
      </c>
      <c r="U182" s="168"/>
      <c r="V182" s="169" t="e">
        <f>IF(C182="",NA(),MATCH($B182&amp;$C182,'Smelter Look-up'!$J:$J,0))</f>
        <v>#N/A</v>
      </c>
      <c r="X182" s="170">
        <f t="shared" ca="1" si="13"/>
        <v>0</v>
      </c>
      <c r="AB182" s="313" t="str">
        <f t="shared" si="15"/>
        <v/>
      </c>
      <c r="AC182" s="170" t="str">
        <f t="shared" si="16"/>
        <v/>
      </c>
      <c r="AD182" s="170" t="str">
        <f t="shared" si="17"/>
        <v/>
      </c>
    </row>
    <row r="183" spans="1:30" s="170" customFormat="1" ht="20.399999999999999">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4"/>
        <v/>
      </c>
      <c r="T183" s="155" t="str">
        <f ca="1">IF(B183="","",IF(ISERROR(MATCH($J183,SorP!$B$1:$B$6226,0)),"",INDIRECT("'SorP'!$A$"&amp;MATCH($S183&amp;$J183,SorP!C:C,0))))</f>
        <v/>
      </c>
      <c r="U183" s="168"/>
      <c r="V183" s="169" t="e">
        <f>IF(C183="",NA(),MATCH($B183&amp;$C183,'Smelter Look-up'!$J:$J,0))</f>
        <v>#N/A</v>
      </c>
      <c r="X183" s="170">
        <f t="shared" ca="1" si="13"/>
        <v>0</v>
      </c>
      <c r="AB183" s="313" t="str">
        <f t="shared" si="15"/>
        <v/>
      </c>
      <c r="AC183" s="170" t="str">
        <f t="shared" si="16"/>
        <v/>
      </c>
      <c r="AD183" s="170" t="str">
        <f t="shared" si="17"/>
        <v/>
      </c>
    </row>
    <row r="184" spans="1:30" s="170" customFormat="1" ht="20.399999999999999">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4"/>
        <v/>
      </c>
      <c r="T184" s="155" t="str">
        <f ca="1">IF(B184="","",IF(ISERROR(MATCH($J184,SorP!$B$1:$B$6226,0)),"",INDIRECT("'SorP'!$A$"&amp;MATCH($S184&amp;$J184,SorP!C:C,0))))</f>
        <v/>
      </c>
      <c r="U184" s="168"/>
      <c r="V184" s="169" t="e">
        <f>IF(C184="",NA(),MATCH($B184&amp;$C184,'Smelter Look-up'!$J:$J,0))</f>
        <v>#N/A</v>
      </c>
      <c r="X184" s="170">
        <f t="shared" ca="1" si="13"/>
        <v>0</v>
      </c>
      <c r="AB184" s="313" t="str">
        <f t="shared" si="15"/>
        <v/>
      </c>
      <c r="AC184" s="170" t="str">
        <f t="shared" si="16"/>
        <v/>
      </c>
      <c r="AD184" s="170" t="str">
        <f t="shared" si="17"/>
        <v/>
      </c>
    </row>
    <row r="185" spans="1:30" s="170" customFormat="1" ht="20.399999999999999">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4"/>
        <v/>
      </c>
      <c r="T185" s="155" t="str">
        <f ca="1">IF(B185="","",IF(ISERROR(MATCH($J185,SorP!$B$1:$B$6226,0)),"",INDIRECT("'SorP'!$A$"&amp;MATCH($S185&amp;$J185,SorP!C:C,0))))</f>
        <v/>
      </c>
      <c r="U185" s="168"/>
      <c r="V185" s="169" t="e">
        <f>IF(C185="",NA(),MATCH($B185&amp;$C185,'Smelter Look-up'!$J:$J,0))</f>
        <v>#N/A</v>
      </c>
      <c r="X185" s="170">
        <f t="shared" ca="1" si="13"/>
        <v>0</v>
      </c>
      <c r="AB185" s="313" t="str">
        <f t="shared" si="15"/>
        <v/>
      </c>
      <c r="AC185" s="170" t="str">
        <f t="shared" si="16"/>
        <v/>
      </c>
      <c r="AD185" s="170" t="str">
        <f t="shared" si="17"/>
        <v/>
      </c>
    </row>
    <row r="186" spans="1:30" s="170" customFormat="1" ht="20.399999999999999">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4"/>
        <v/>
      </c>
      <c r="T186" s="155" t="str">
        <f ca="1">IF(B186="","",IF(ISERROR(MATCH($J186,SorP!$B$1:$B$6226,0)),"",INDIRECT("'SorP'!$A$"&amp;MATCH($S186&amp;$J186,SorP!C:C,0))))</f>
        <v/>
      </c>
      <c r="U186" s="168"/>
      <c r="V186" s="169" t="e">
        <f>IF(C186="",NA(),MATCH($B186&amp;$C186,'Smelter Look-up'!$J:$J,0))</f>
        <v>#N/A</v>
      </c>
      <c r="X186" s="170">
        <f t="shared" ca="1" si="13"/>
        <v>0</v>
      </c>
      <c r="AB186" s="313" t="str">
        <f t="shared" si="15"/>
        <v/>
      </c>
      <c r="AC186" s="170" t="str">
        <f t="shared" si="16"/>
        <v/>
      </c>
      <c r="AD186" s="170" t="str">
        <f t="shared" si="17"/>
        <v/>
      </c>
    </row>
    <row r="187" spans="1:30" s="170" customFormat="1" ht="20.399999999999999">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4"/>
        <v/>
      </c>
      <c r="T187" s="155" t="str">
        <f ca="1">IF(B187="","",IF(ISERROR(MATCH($J187,SorP!$B$1:$B$6226,0)),"",INDIRECT("'SorP'!$A$"&amp;MATCH($S187&amp;$J187,SorP!C:C,0))))</f>
        <v/>
      </c>
      <c r="U187" s="168"/>
      <c r="V187" s="169" t="e">
        <f>IF(C187="",NA(),MATCH($B187&amp;$C187,'Smelter Look-up'!$J:$J,0))</f>
        <v>#N/A</v>
      </c>
      <c r="X187" s="170">
        <f t="shared" ca="1" si="13"/>
        <v>0</v>
      </c>
      <c r="AB187" s="313" t="str">
        <f t="shared" si="15"/>
        <v/>
      </c>
      <c r="AC187" s="170" t="str">
        <f t="shared" si="16"/>
        <v/>
      </c>
      <c r="AD187" s="170" t="str">
        <f t="shared" si="17"/>
        <v/>
      </c>
    </row>
    <row r="188" spans="1:30" s="170" customFormat="1" ht="20.399999999999999">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4"/>
        <v/>
      </c>
      <c r="T188" s="155" t="str">
        <f ca="1">IF(B188="","",IF(ISERROR(MATCH($J188,SorP!$B$1:$B$6226,0)),"",INDIRECT("'SorP'!$A$"&amp;MATCH($S188&amp;$J188,SorP!C:C,0))))</f>
        <v/>
      </c>
      <c r="U188" s="168"/>
      <c r="V188" s="169" t="e">
        <f>IF(C188="",NA(),MATCH($B188&amp;$C188,'Smelter Look-up'!$J:$J,0))</f>
        <v>#N/A</v>
      </c>
      <c r="X188" s="170">
        <f t="shared" ca="1" si="13"/>
        <v>0</v>
      </c>
      <c r="AB188" s="313" t="str">
        <f t="shared" si="15"/>
        <v/>
      </c>
      <c r="AC188" s="170" t="str">
        <f t="shared" si="16"/>
        <v/>
      </c>
      <c r="AD188" s="170" t="str">
        <f t="shared" si="17"/>
        <v/>
      </c>
    </row>
    <row r="189" spans="1:30" s="170" customFormat="1" ht="20.399999999999999">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4"/>
        <v/>
      </c>
      <c r="T189" s="155" t="str">
        <f ca="1">IF(B189="","",IF(ISERROR(MATCH($J189,SorP!$B$1:$B$6226,0)),"",INDIRECT("'SorP'!$A$"&amp;MATCH($S189&amp;$J189,SorP!C:C,0))))</f>
        <v/>
      </c>
      <c r="U189" s="168"/>
      <c r="V189" s="169" t="e">
        <f>IF(C189="",NA(),MATCH($B189&amp;$C189,'Smelter Look-up'!$J:$J,0))</f>
        <v>#N/A</v>
      </c>
      <c r="X189" s="170">
        <f t="shared" ca="1" si="13"/>
        <v>0</v>
      </c>
      <c r="AB189" s="313" t="str">
        <f t="shared" si="15"/>
        <v/>
      </c>
      <c r="AC189" s="170" t="str">
        <f t="shared" si="16"/>
        <v/>
      </c>
      <c r="AD189" s="170" t="str">
        <f t="shared" si="17"/>
        <v/>
      </c>
    </row>
    <row r="190" spans="1:30" s="170" customFormat="1" ht="20.399999999999999">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4"/>
        <v/>
      </c>
      <c r="T190" s="155" t="str">
        <f ca="1">IF(B190="","",IF(ISERROR(MATCH($J190,SorP!$B$1:$B$6226,0)),"",INDIRECT("'SorP'!$A$"&amp;MATCH($S190&amp;$J190,SorP!C:C,0))))</f>
        <v/>
      </c>
      <c r="U190" s="168"/>
      <c r="V190" s="169" t="e">
        <f>IF(C190="",NA(),MATCH($B190&amp;$C190,'Smelter Look-up'!$J:$J,0))</f>
        <v>#N/A</v>
      </c>
      <c r="X190" s="170">
        <f t="shared" ca="1" si="13"/>
        <v>0</v>
      </c>
      <c r="AB190" s="313" t="str">
        <f t="shared" si="15"/>
        <v/>
      </c>
      <c r="AC190" s="170" t="str">
        <f t="shared" si="16"/>
        <v/>
      </c>
      <c r="AD190" s="170" t="str">
        <f t="shared" si="17"/>
        <v/>
      </c>
    </row>
    <row r="191" spans="1:30" s="170" customFormat="1" ht="20.399999999999999">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4"/>
        <v/>
      </c>
      <c r="T191" s="155" t="str">
        <f ca="1">IF(B191="","",IF(ISERROR(MATCH($J191,SorP!$B$1:$B$6226,0)),"",INDIRECT("'SorP'!$A$"&amp;MATCH($S191&amp;$J191,SorP!C:C,0))))</f>
        <v/>
      </c>
      <c r="U191" s="168"/>
      <c r="V191" s="169" t="e">
        <f>IF(C191="",NA(),MATCH($B191&amp;$C191,'Smelter Look-up'!$J:$J,0))</f>
        <v>#N/A</v>
      </c>
      <c r="X191" s="170">
        <f t="shared" ref="X191:X254" ca="1" si="18">IF(AND(C191="Smelter not listed",OR(LEN(D191)=0,LEN(E191)=0)),1,0)</f>
        <v>0</v>
      </c>
      <c r="AB191" s="313" t="str">
        <f t="shared" si="15"/>
        <v/>
      </c>
      <c r="AC191" s="170" t="str">
        <f t="shared" si="16"/>
        <v/>
      </c>
      <c r="AD191" s="170" t="str">
        <f t="shared" si="17"/>
        <v/>
      </c>
    </row>
    <row r="192" spans="1:30" s="170" customFormat="1" ht="20.399999999999999">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ref="S192:S255" ca="1" si="19">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8"/>
        <v>0</v>
      </c>
      <c r="AB192" s="313" t="str">
        <f t="shared" si="15"/>
        <v/>
      </c>
      <c r="AC192" s="170" t="str">
        <f t="shared" si="16"/>
        <v/>
      </c>
      <c r="AD192" s="170" t="str">
        <f t="shared" si="17"/>
        <v/>
      </c>
    </row>
    <row r="193" spans="1:30" s="170" customFormat="1" ht="20.399999999999999">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9"/>
        <v/>
      </c>
      <c r="T193" s="155" t="str">
        <f ca="1">IF(B193="","",IF(ISERROR(MATCH($J193,SorP!$B$1:$B$6226,0)),"",INDIRECT("'SorP'!$A$"&amp;MATCH($S193&amp;$J193,SorP!C:C,0))))</f>
        <v/>
      </c>
      <c r="U193" s="168"/>
      <c r="V193" s="169" t="e">
        <f>IF(C193="",NA(),MATCH($B193&amp;$C193,'Smelter Look-up'!$J:$J,0))</f>
        <v>#N/A</v>
      </c>
      <c r="X193" s="170">
        <f t="shared" ca="1" si="18"/>
        <v>0</v>
      </c>
      <c r="AB193" s="313" t="str">
        <f t="shared" si="15"/>
        <v/>
      </c>
      <c r="AC193" s="170" t="str">
        <f t="shared" si="16"/>
        <v/>
      </c>
      <c r="AD193" s="170" t="str">
        <f t="shared" si="17"/>
        <v/>
      </c>
    </row>
    <row r="194" spans="1:30" s="170" customFormat="1" ht="20.399999999999999">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9"/>
        <v/>
      </c>
      <c r="T194" s="155" t="str">
        <f ca="1">IF(B194="","",IF(ISERROR(MATCH($J194,SorP!$B$1:$B$6226,0)),"",INDIRECT("'SorP'!$A$"&amp;MATCH($S194&amp;$J194,SorP!C:C,0))))</f>
        <v/>
      </c>
      <c r="U194" s="168"/>
      <c r="V194" s="169" t="e">
        <f>IF(C194="",NA(),MATCH($B194&amp;$C194,'Smelter Look-up'!$J:$J,0))</f>
        <v>#N/A</v>
      </c>
      <c r="X194" s="170">
        <f t="shared" ca="1" si="18"/>
        <v>0</v>
      </c>
      <c r="AB194" s="313" t="str">
        <f t="shared" si="15"/>
        <v/>
      </c>
      <c r="AC194" s="170" t="str">
        <f t="shared" si="16"/>
        <v/>
      </c>
      <c r="AD194" s="170" t="str">
        <f t="shared" si="17"/>
        <v/>
      </c>
    </row>
    <row r="195" spans="1:30" s="170" customFormat="1" ht="20.399999999999999">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9"/>
        <v/>
      </c>
      <c r="T195" s="155" t="str">
        <f ca="1">IF(B195="","",IF(ISERROR(MATCH($J195,SorP!$B$1:$B$6226,0)),"",INDIRECT("'SorP'!$A$"&amp;MATCH($S195&amp;$J195,SorP!C:C,0))))</f>
        <v/>
      </c>
      <c r="U195" s="168"/>
      <c r="V195" s="169" t="e">
        <f>IF(C195="",NA(),MATCH($B195&amp;$C195,'Smelter Look-up'!$J:$J,0))</f>
        <v>#N/A</v>
      </c>
      <c r="X195" s="170">
        <f t="shared" ca="1" si="18"/>
        <v>0</v>
      </c>
      <c r="AB195" s="313" t="str">
        <f t="shared" si="15"/>
        <v/>
      </c>
      <c r="AC195" s="170" t="str">
        <f t="shared" si="16"/>
        <v/>
      </c>
      <c r="AD195" s="170" t="str">
        <f t="shared" si="17"/>
        <v/>
      </c>
    </row>
    <row r="196" spans="1:30" s="170" customFormat="1" ht="20.399999999999999">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9"/>
        <v/>
      </c>
      <c r="T196" s="155" t="str">
        <f ca="1">IF(B196="","",IF(ISERROR(MATCH($J196,SorP!$B$1:$B$6226,0)),"",INDIRECT("'SorP'!$A$"&amp;MATCH($S196&amp;$J196,SorP!C:C,0))))</f>
        <v/>
      </c>
      <c r="U196" s="168"/>
      <c r="V196" s="169" t="e">
        <f>IF(C196="",NA(),MATCH($B196&amp;$C196,'Smelter Look-up'!$J:$J,0))</f>
        <v>#N/A</v>
      </c>
      <c r="X196" s="170">
        <f t="shared" ca="1" si="18"/>
        <v>0</v>
      </c>
      <c r="AB196" s="313" t="str">
        <f t="shared" si="15"/>
        <v/>
      </c>
      <c r="AC196" s="170" t="str">
        <f t="shared" si="16"/>
        <v/>
      </c>
      <c r="AD196" s="170" t="str">
        <f t="shared" si="17"/>
        <v/>
      </c>
    </row>
    <row r="197" spans="1:30" s="170" customFormat="1" ht="20.399999999999999">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9"/>
        <v/>
      </c>
      <c r="T197" s="155" t="str">
        <f ca="1">IF(B197="","",IF(ISERROR(MATCH($J197,SorP!$B$1:$B$6226,0)),"",INDIRECT("'SorP'!$A$"&amp;MATCH($S197&amp;$J197,SorP!C:C,0))))</f>
        <v/>
      </c>
      <c r="U197" s="168"/>
      <c r="V197" s="169" t="e">
        <f>IF(C197="",NA(),MATCH($B197&amp;$C197,'Smelter Look-up'!$J:$J,0))</f>
        <v>#N/A</v>
      </c>
      <c r="X197" s="170">
        <f t="shared" ca="1" si="18"/>
        <v>0</v>
      </c>
      <c r="AB197" s="313" t="str">
        <f t="shared" si="15"/>
        <v/>
      </c>
      <c r="AC197" s="170" t="str">
        <f t="shared" si="16"/>
        <v/>
      </c>
      <c r="AD197" s="170" t="str">
        <f t="shared" si="17"/>
        <v/>
      </c>
    </row>
    <row r="198" spans="1:30" s="170" customFormat="1" ht="20.399999999999999">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9"/>
        <v/>
      </c>
      <c r="T198" s="155" t="str">
        <f ca="1">IF(B198="","",IF(ISERROR(MATCH($J198,SorP!$B$1:$B$6226,0)),"",INDIRECT("'SorP'!$A$"&amp;MATCH($S198&amp;$J198,SorP!C:C,0))))</f>
        <v/>
      </c>
      <c r="U198" s="168"/>
      <c r="V198" s="169" t="e">
        <f>IF(C198="",NA(),MATCH($B198&amp;$C198,'Smelter Look-up'!$J:$J,0))</f>
        <v>#N/A</v>
      </c>
      <c r="X198" s="170">
        <f t="shared" ca="1" si="18"/>
        <v>0</v>
      </c>
      <c r="AB198" s="313" t="str">
        <f t="shared" ref="AB198:AB261" si="20">IF(C198="","",B198)</f>
        <v/>
      </c>
      <c r="AC198" s="170" t="str">
        <f t="shared" ref="AC198:AC261" si="21">B198</f>
        <v/>
      </c>
      <c r="AD198" s="170" t="str">
        <f t="shared" ref="AD198:AD261" si="22">IF(C198="Smelter not listed",D198,C198)</f>
        <v/>
      </c>
    </row>
    <row r="199" spans="1:30" s="170" customFormat="1" ht="20.399999999999999">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9"/>
        <v/>
      </c>
      <c r="T199" s="155" t="str">
        <f ca="1">IF(B199="","",IF(ISERROR(MATCH($J199,SorP!$B$1:$B$6226,0)),"",INDIRECT("'SorP'!$A$"&amp;MATCH($S199&amp;$J199,SorP!C:C,0))))</f>
        <v/>
      </c>
      <c r="U199" s="168"/>
      <c r="V199" s="169" t="e">
        <f>IF(C199="",NA(),MATCH($B199&amp;$C199,'Smelter Look-up'!$J:$J,0))</f>
        <v>#N/A</v>
      </c>
      <c r="X199" s="170">
        <f t="shared" ca="1" si="18"/>
        <v>0</v>
      </c>
      <c r="AB199" s="313" t="str">
        <f t="shared" si="20"/>
        <v/>
      </c>
      <c r="AC199" s="170" t="str">
        <f t="shared" si="21"/>
        <v/>
      </c>
      <c r="AD199" s="170" t="str">
        <f t="shared" si="22"/>
        <v/>
      </c>
    </row>
    <row r="200" spans="1:30" s="170" customFormat="1" ht="20.399999999999999">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9"/>
        <v/>
      </c>
      <c r="T200" s="155" t="str">
        <f ca="1">IF(B200="","",IF(ISERROR(MATCH($J200,SorP!$B$1:$B$6226,0)),"",INDIRECT("'SorP'!$A$"&amp;MATCH($S200&amp;$J200,SorP!C:C,0))))</f>
        <v/>
      </c>
      <c r="U200" s="168"/>
      <c r="V200" s="169" t="e">
        <f>IF(C200="",NA(),MATCH($B200&amp;$C200,'Smelter Look-up'!$J:$J,0))</f>
        <v>#N/A</v>
      </c>
      <c r="X200" s="170">
        <f t="shared" ca="1" si="18"/>
        <v>0</v>
      </c>
      <c r="AB200" s="313" t="str">
        <f t="shared" si="20"/>
        <v/>
      </c>
      <c r="AC200" s="170" t="str">
        <f t="shared" si="21"/>
        <v/>
      </c>
      <c r="AD200" s="170" t="str">
        <f t="shared" si="22"/>
        <v/>
      </c>
    </row>
    <row r="201" spans="1:30" s="170" customFormat="1" ht="20.399999999999999">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9"/>
        <v/>
      </c>
      <c r="T201" s="155" t="str">
        <f ca="1">IF(B201="","",IF(ISERROR(MATCH($J201,SorP!$B$1:$B$6226,0)),"",INDIRECT("'SorP'!$A$"&amp;MATCH($S201&amp;$J201,SorP!C:C,0))))</f>
        <v/>
      </c>
      <c r="U201" s="168"/>
      <c r="V201" s="169" t="e">
        <f>IF(C201="",NA(),MATCH($B201&amp;$C201,'Smelter Look-up'!$J:$J,0))</f>
        <v>#N/A</v>
      </c>
      <c r="X201" s="170">
        <f t="shared" ca="1" si="18"/>
        <v>0</v>
      </c>
      <c r="AB201" s="313" t="str">
        <f t="shared" si="20"/>
        <v/>
      </c>
      <c r="AC201" s="170" t="str">
        <f t="shared" si="21"/>
        <v/>
      </c>
      <c r="AD201" s="170" t="str">
        <f t="shared" si="22"/>
        <v/>
      </c>
    </row>
    <row r="202" spans="1:30" s="170" customFormat="1" ht="20.399999999999999">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9"/>
        <v/>
      </c>
      <c r="T202" s="155" t="str">
        <f ca="1">IF(B202="","",IF(ISERROR(MATCH($J202,SorP!$B$1:$B$6226,0)),"",INDIRECT("'SorP'!$A$"&amp;MATCH($S202&amp;$J202,SorP!C:C,0))))</f>
        <v/>
      </c>
      <c r="U202" s="168"/>
      <c r="V202" s="169" t="e">
        <f>IF(C202="",NA(),MATCH($B202&amp;$C202,'Smelter Look-up'!$J:$J,0))</f>
        <v>#N/A</v>
      </c>
      <c r="X202" s="170">
        <f t="shared" ca="1" si="18"/>
        <v>0</v>
      </c>
      <c r="AB202" s="313" t="str">
        <f t="shared" si="20"/>
        <v/>
      </c>
      <c r="AC202" s="170" t="str">
        <f t="shared" si="21"/>
        <v/>
      </c>
      <c r="AD202" s="170" t="str">
        <f t="shared" si="22"/>
        <v/>
      </c>
    </row>
    <row r="203" spans="1:30" s="170" customFormat="1" ht="20.399999999999999">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9"/>
        <v/>
      </c>
      <c r="T203" s="155" t="str">
        <f ca="1">IF(B203="","",IF(ISERROR(MATCH($J203,SorP!$B$1:$B$6226,0)),"",INDIRECT("'SorP'!$A$"&amp;MATCH($S203&amp;$J203,SorP!C:C,0))))</f>
        <v/>
      </c>
      <c r="U203" s="168"/>
      <c r="V203" s="169" t="e">
        <f>IF(C203="",NA(),MATCH($B203&amp;$C203,'Smelter Look-up'!$J:$J,0))</f>
        <v>#N/A</v>
      </c>
      <c r="X203" s="170">
        <f t="shared" ca="1" si="18"/>
        <v>0</v>
      </c>
      <c r="AB203" s="313" t="str">
        <f t="shared" si="20"/>
        <v/>
      </c>
      <c r="AC203" s="170" t="str">
        <f t="shared" si="21"/>
        <v/>
      </c>
      <c r="AD203" s="170" t="str">
        <f t="shared" si="22"/>
        <v/>
      </c>
    </row>
    <row r="204" spans="1:30" s="170" customFormat="1" ht="20.399999999999999">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9"/>
        <v/>
      </c>
      <c r="T204" s="155" t="str">
        <f ca="1">IF(B204="","",IF(ISERROR(MATCH($J204,SorP!$B$1:$B$6226,0)),"",INDIRECT("'SorP'!$A$"&amp;MATCH($S204&amp;$J204,SorP!C:C,0))))</f>
        <v/>
      </c>
      <c r="U204" s="168"/>
      <c r="V204" s="169" t="e">
        <f>IF(C204="",NA(),MATCH($B204&amp;$C204,'Smelter Look-up'!$J:$J,0))</f>
        <v>#N/A</v>
      </c>
      <c r="X204" s="170">
        <f t="shared" ca="1" si="18"/>
        <v>0</v>
      </c>
      <c r="AB204" s="313" t="str">
        <f t="shared" si="20"/>
        <v/>
      </c>
      <c r="AC204" s="170" t="str">
        <f t="shared" si="21"/>
        <v/>
      </c>
      <c r="AD204" s="170" t="str">
        <f t="shared" si="22"/>
        <v/>
      </c>
    </row>
    <row r="205" spans="1:30" s="170" customFormat="1" ht="20.399999999999999">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9"/>
        <v/>
      </c>
      <c r="T205" s="155" t="str">
        <f ca="1">IF(B205="","",IF(ISERROR(MATCH($J205,SorP!$B$1:$B$6226,0)),"",INDIRECT("'SorP'!$A$"&amp;MATCH($S205&amp;$J205,SorP!C:C,0))))</f>
        <v/>
      </c>
      <c r="U205" s="168"/>
      <c r="V205" s="169" t="e">
        <f>IF(C205="",NA(),MATCH($B205&amp;$C205,'Smelter Look-up'!$J:$J,0))</f>
        <v>#N/A</v>
      </c>
      <c r="X205" s="170">
        <f t="shared" ca="1" si="18"/>
        <v>0</v>
      </c>
      <c r="AB205" s="313" t="str">
        <f t="shared" si="20"/>
        <v/>
      </c>
      <c r="AC205" s="170" t="str">
        <f t="shared" si="21"/>
        <v/>
      </c>
      <c r="AD205" s="170" t="str">
        <f t="shared" si="22"/>
        <v/>
      </c>
    </row>
    <row r="206" spans="1:30" s="170" customFormat="1" ht="20.399999999999999">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9"/>
        <v/>
      </c>
      <c r="T206" s="155" t="str">
        <f ca="1">IF(B206="","",IF(ISERROR(MATCH($J206,SorP!$B$1:$B$6226,0)),"",INDIRECT("'SorP'!$A$"&amp;MATCH($S206&amp;$J206,SorP!C:C,0))))</f>
        <v/>
      </c>
      <c r="U206" s="168"/>
      <c r="V206" s="169" t="e">
        <f>IF(C206="",NA(),MATCH($B206&amp;$C206,'Smelter Look-up'!$J:$J,0))</f>
        <v>#N/A</v>
      </c>
      <c r="X206" s="170">
        <f t="shared" ca="1" si="18"/>
        <v>0</v>
      </c>
      <c r="AB206" s="313" t="str">
        <f t="shared" si="20"/>
        <v/>
      </c>
      <c r="AC206" s="170" t="str">
        <f t="shared" si="21"/>
        <v/>
      </c>
      <c r="AD206" s="170" t="str">
        <f t="shared" si="22"/>
        <v/>
      </c>
    </row>
    <row r="207" spans="1:30" s="170" customFormat="1" ht="20.399999999999999">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9"/>
        <v/>
      </c>
      <c r="T207" s="155" t="str">
        <f ca="1">IF(B207="","",IF(ISERROR(MATCH($J207,SorP!$B$1:$B$6226,0)),"",INDIRECT("'SorP'!$A$"&amp;MATCH($S207&amp;$J207,SorP!C:C,0))))</f>
        <v/>
      </c>
      <c r="U207" s="168"/>
      <c r="V207" s="169" t="e">
        <f>IF(C207="",NA(),MATCH($B207&amp;$C207,'Smelter Look-up'!$J:$J,0))</f>
        <v>#N/A</v>
      </c>
      <c r="X207" s="170">
        <f t="shared" ca="1" si="18"/>
        <v>0</v>
      </c>
      <c r="AB207" s="313" t="str">
        <f t="shared" si="20"/>
        <v/>
      </c>
      <c r="AC207" s="170" t="str">
        <f t="shared" si="21"/>
        <v/>
      </c>
      <c r="AD207" s="170" t="str">
        <f t="shared" si="22"/>
        <v/>
      </c>
    </row>
    <row r="208" spans="1:30" s="170" customFormat="1" ht="20.399999999999999">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9"/>
        <v/>
      </c>
      <c r="T208" s="155" t="str">
        <f ca="1">IF(B208="","",IF(ISERROR(MATCH($J208,SorP!$B$1:$B$6226,0)),"",INDIRECT("'SorP'!$A$"&amp;MATCH($S208&amp;$J208,SorP!C:C,0))))</f>
        <v/>
      </c>
      <c r="U208" s="168"/>
      <c r="V208" s="169" t="e">
        <f>IF(C208="",NA(),MATCH($B208&amp;$C208,'Smelter Look-up'!$J:$J,0))</f>
        <v>#N/A</v>
      </c>
      <c r="X208" s="170">
        <f t="shared" ca="1" si="18"/>
        <v>0</v>
      </c>
      <c r="AB208" s="313" t="str">
        <f t="shared" si="20"/>
        <v/>
      </c>
      <c r="AC208" s="170" t="str">
        <f t="shared" si="21"/>
        <v/>
      </c>
      <c r="AD208" s="170" t="str">
        <f t="shared" si="22"/>
        <v/>
      </c>
    </row>
    <row r="209" spans="1:30" s="170" customFormat="1" ht="20.399999999999999">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9"/>
        <v/>
      </c>
      <c r="T209" s="155" t="str">
        <f ca="1">IF(B209="","",IF(ISERROR(MATCH($J209,SorP!$B$1:$B$6226,0)),"",INDIRECT("'SorP'!$A$"&amp;MATCH($S209&amp;$J209,SorP!C:C,0))))</f>
        <v/>
      </c>
      <c r="U209" s="168"/>
      <c r="V209" s="169" t="e">
        <f>IF(C209="",NA(),MATCH($B209&amp;$C209,'Smelter Look-up'!$J:$J,0))</f>
        <v>#N/A</v>
      </c>
      <c r="X209" s="170">
        <f t="shared" ca="1" si="18"/>
        <v>0</v>
      </c>
      <c r="AB209" s="313" t="str">
        <f t="shared" si="20"/>
        <v/>
      </c>
      <c r="AC209" s="170" t="str">
        <f t="shared" si="21"/>
        <v/>
      </c>
      <c r="AD209" s="170" t="str">
        <f t="shared" si="22"/>
        <v/>
      </c>
    </row>
    <row r="210" spans="1:30" s="170" customFormat="1" ht="20.399999999999999">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9"/>
        <v/>
      </c>
      <c r="T210" s="155" t="str">
        <f ca="1">IF(B210="","",IF(ISERROR(MATCH($J210,SorP!$B$1:$B$6226,0)),"",INDIRECT("'SorP'!$A$"&amp;MATCH($S210&amp;$J210,SorP!C:C,0))))</f>
        <v/>
      </c>
      <c r="U210" s="168"/>
      <c r="V210" s="169" t="e">
        <f>IF(C210="",NA(),MATCH($B210&amp;$C210,'Smelter Look-up'!$J:$J,0))</f>
        <v>#N/A</v>
      </c>
      <c r="X210" s="170">
        <f t="shared" ca="1" si="18"/>
        <v>0</v>
      </c>
      <c r="AB210" s="313" t="str">
        <f t="shared" si="20"/>
        <v/>
      </c>
      <c r="AC210" s="170" t="str">
        <f t="shared" si="21"/>
        <v/>
      </c>
      <c r="AD210" s="170" t="str">
        <f t="shared" si="22"/>
        <v/>
      </c>
    </row>
    <row r="211" spans="1:30" s="170" customFormat="1" ht="20.399999999999999">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9"/>
        <v/>
      </c>
      <c r="T211" s="155" t="str">
        <f ca="1">IF(B211="","",IF(ISERROR(MATCH($J211,SorP!$B$1:$B$6226,0)),"",INDIRECT("'SorP'!$A$"&amp;MATCH($S211&amp;$J211,SorP!C:C,0))))</f>
        <v/>
      </c>
      <c r="U211" s="168"/>
      <c r="V211" s="169" t="e">
        <f>IF(C211="",NA(),MATCH($B211&amp;$C211,'Smelter Look-up'!$J:$J,0))</f>
        <v>#N/A</v>
      </c>
      <c r="X211" s="170">
        <f t="shared" ca="1" si="18"/>
        <v>0</v>
      </c>
      <c r="AB211" s="313" t="str">
        <f t="shared" si="20"/>
        <v/>
      </c>
      <c r="AC211" s="170" t="str">
        <f t="shared" si="21"/>
        <v/>
      </c>
      <c r="AD211" s="170" t="str">
        <f t="shared" si="22"/>
        <v/>
      </c>
    </row>
    <row r="212" spans="1:30" s="170" customFormat="1" ht="20.399999999999999">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9"/>
        <v/>
      </c>
      <c r="T212" s="155" t="str">
        <f ca="1">IF(B212="","",IF(ISERROR(MATCH($J212,SorP!$B$1:$B$6226,0)),"",INDIRECT("'SorP'!$A$"&amp;MATCH($S212&amp;$J212,SorP!C:C,0))))</f>
        <v/>
      </c>
      <c r="U212" s="168"/>
      <c r="V212" s="169" t="e">
        <f>IF(C212="",NA(),MATCH($B212&amp;$C212,'Smelter Look-up'!$J:$J,0))</f>
        <v>#N/A</v>
      </c>
      <c r="X212" s="170">
        <f t="shared" ca="1" si="18"/>
        <v>0</v>
      </c>
      <c r="AB212" s="313" t="str">
        <f t="shared" si="20"/>
        <v/>
      </c>
      <c r="AC212" s="170" t="str">
        <f t="shared" si="21"/>
        <v/>
      </c>
      <c r="AD212" s="170" t="str">
        <f t="shared" si="22"/>
        <v/>
      </c>
    </row>
    <row r="213" spans="1:30" s="170" customFormat="1" ht="20.399999999999999">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9"/>
        <v/>
      </c>
      <c r="T213" s="155" t="str">
        <f ca="1">IF(B213="","",IF(ISERROR(MATCH($J213,SorP!$B$1:$B$6226,0)),"",INDIRECT("'SorP'!$A$"&amp;MATCH($S213&amp;$J213,SorP!C:C,0))))</f>
        <v/>
      </c>
      <c r="U213" s="168"/>
      <c r="V213" s="169" t="e">
        <f>IF(C213="",NA(),MATCH($B213&amp;$C213,'Smelter Look-up'!$J:$J,0))</f>
        <v>#N/A</v>
      </c>
      <c r="X213" s="170">
        <f t="shared" ca="1" si="18"/>
        <v>0</v>
      </c>
      <c r="AB213" s="313" t="str">
        <f t="shared" si="20"/>
        <v/>
      </c>
      <c r="AC213" s="170" t="str">
        <f t="shared" si="21"/>
        <v/>
      </c>
      <c r="AD213" s="170" t="str">
        <f t="shared" si="22"/>
        <v/>
      </c>
    </row>
    <row r="214" spans="1:30" s="170" customFormat="1" ht="20.399999999999999">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9"/>
        <v/>
      </c>
      <c r="T214" s="155" t="str">
        <f ca="1">IF(B214="","",IF(ISERROR(MATCH($J214,SorP!$B$1:$B$6226,0)),"",INDIRECT("'SorP'!$A$"&amp;MATCH($S214&amp;$J214,SorP!C:C,0))))</f>
        <v/>
      </c>
      <c r="U214" s="168"/>
      <c r="V214" s="169" t="e">
        <f>IF(C214="",NA(),MATCH($B214&amp;$C214,'Smelter Look-up'!$J:$J,0))</f>
        <v>#N/A</v>
      </c>
      <c r="X214" s="170">
        <f t="shared" ca="1" si="18"/>
        <v>0</v>
      </c>
      <c r="AB214" s="313" t="str">
        <f t="shared" si="20"/>
        <v/>
      </c>
      <c r="AC214" s="170" t="str">
        <f t="shared" si="21"/>
        <v/>
      </c>
      <c r="AD214" s="170" t="str">
        <f t="shared" si="22"/>
        <v/>
      </c>
    </row>
    <row r="215" spans="1:30" s="170" customFormat="1" ht="20.399999999999999">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9"/>
        <v/>
      </c>
      <c r="T215" s="155" t="str">
        <f ca="1">IF(B215="","",IF(ISERROR(MATCH($J215,SorP!$B$1:$B$6226,0)),"",INDIRECT("'SorP'!$A$"&amp;MATCH($S215&amp;$J215,SorP!C:C,0))))</f>
        <v/>
      </c>
      <c r="U215" s="168"/>
      <c r="V215" s="169" t="e">
        <f>IF(C215="",NA(),MATCH($B215&amp;$C215,'Smelter Look-up'!$J:$J,0))</f>
        <v>#N/A</v>
      </c>
      <c r="X215" s="170">
        <f t="shared" ca="1" si="18"/>
        <v>0</v>
      </c>
      <c r="AB215" s="313" t="str">
        <f t="shared" si="20"/>
        <v/>
      </c>
      <c r="AC215" s="170" t="str">
        <f t="shared" si="21"/>
        <v/>
      </c>
      <c r="AD215" s="170" t="str">
        <f t="shared" si="22"/>
        <v/>
      </c>
    </row>
    <row r="216" spans="1:30" s="170" customFormat="1" ht="20.399999999999999">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9"/>
        <v/>
      </c>
      <c r="T216" s="155" t="str">
        <f ca="1">IF(B216="","",IF(ISERROR(MATCH($J216,SorP!$B$1:$B$6226,0)),"",INDIRECT("'SorP'!$A$"&amp;MATCH($S216&amp;$J216,SorP!C:C,0))))</f>
        <v/>
      </c>
      <c r="U216" s="168"/>
      <c r="V216" s="169" t="e">
        <f>IF(C216="",NA(),MATCH($B216&amp;$C216,'Smelter Look-up'!$J:$J,0))</f>
        <v>#N/A</v>
      </c>
      <c r="X216" s="170">
        <f t="shared" ca="1" si="18"/>
        <v>0</v>
      </c>
      <c r="AB216" s="313" t="str">
        <f t="shared" si="20"/>
        <v/>
      </c>
      <c r="AC216" s="170" t="str">
        <f t="shared" si="21"/>
        <v/>
      </c>
      <c r="AD216" s="170" t="str">
        <f t="shared" si="22"/>
        <v/>
      </c>
    </row>
    <row r="217" spans="1:30" s="170" customFormat="1" ht="20.399999999999999">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9"/>
        <v/>
      </c>
      <c r="T217" s="155" t="str">
        <f ca="1">IF(B217="","",IF(ISERROR(MATCH($J217,SorP!$B$1:$B$6226,0)),"",INDIRECT("'SorP'!$A$"&amp;MATCH($S217&amp;$J217,SorP!C:C,0))))</f>
        <v/>
      </c>
      <c r="U217" s="168"/>
      <c r="V217" s="169" t="e">
        <f>IF(C217="",NA(),MATCH($B217&amp;$C217,'Smelter Look-up'!$J:$J,0))</f>
        <v>#N/A</v>
      </c>
      <c r="X217" s="170">
        <f t="shared" ca="1" si="18"/>
        <v>0</v>
      </c>
      <c r="AB217" s="313" t="str">
        <f t="shared" si="20"/>
        <v/>
      </c>
      <c r="AC217" s="170" t="str">
        <f t="shared" si="21"/>
        <v/>
      </c>
      <c r="AD217" s="170" t="str">
        <f t="shared" si="22"/>
        <v/>
      </c>
    </row>
    <row r="218" spans="1:30" s="170" customFormat="1" ht="20.399999999999999">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9"/>
        <v/>
      </c>
      <c r="T218" s="155" t="str">
        <f ca="1">IF(B218="","",IF(ISERROR(MATCH($J218,SorP!$B$1:$B$6226,0)),"",INDIRECT("'SorP'!$A$"&amp;MATCH($S218&amp;$J218,SorP!C:C,0))))</f>
        <v/>
      </c>
      <c r="U218" s="168"/>
      <c r="V218" s="169" t="e">
        <f>IF(C218="",NA(),MATCH($B218&amp;$C218,'Smelter Look-up'!$J:$J,0))</f>
        <v>#N/A</v>
      </c>
      <c r="X218" s="170">
        <f t="shared" ca="1" si="18"/>
        <v>0</v>
      </c>
      <c r="AB218" s="313" t="str">
        <f t="shared" si="20"/>
        <v/>
      </c>
      <c r="AC218" s="170" t="str">
        <f t="shared" si="21"/>
        <v/>
      </c>
      <c r="AD218" s="170" t="str">
        <f t="shared" si="22"/>
        <v/>
      </c>
    </row>
    <row r="219" spans="1:30" s="170" customFormat="1" ht="20.399999999999999">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9"/>
        <v/>
      </c>
      <c r="T219" s="155" t="str">
        <f ca="1">IF(B219="","",IF(ISERROR(MATCH($J219,SorP!$B$1:$B$6226,0)),"",INDIRECT("'SorP'!$A$"&amp;MATCH($S219&amp;$J219,SorP!C:C,0))))</f>
        <v/>
      </c>
      <c r="U219" s="168"/>
      <c r="V219" s="169" t="e">
        <f>IF(C219="",NA(),MATCH($B219&amp;$C219,'Smelter Look-up'!$J:$J,0))</f>
        <v>#N/A</v>
      </c>
      <c r="X219" s="170">
        <f t="shared" ca="1" si="18"/>
        <v>0</v>
      </c>
      <c r="AB219" s="313" t="str">
        <f t="shared" si="20"/>
        <v/>
      </c>
      <c r="AC219" s="170" t="str">
        <f t="shared" si="21"/>
        <v/>
      </c>
      <c r="AD219" s="170" t="str">
        <f t="shared" si="22"/>
        <v/>
      </c>
    </row>
    <row r="220" spans="1:30" s="170" customFormat="1" ht="20.399999999999999">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9"/>
        <v/>
      </c>
      <c r="T220" s="155" t="str">
        <f ca="1">IF(B220="","",IF(ISERROR(MATCH($J220,SorP!$B$1:$B$6226,0)),"",INDIRECT("'SorP'!$A$"&amp;MATCH($S220&amp;$J220,SorP!C:C,0))))</f>
        <v/>
      </c>
      <c r="U220" s="168"/>
      <c r="V220" s="169" t="e">
        <f>IF(C220="",NA(),MATCH($B220&amp;$C220,'Smelter Look-up'!$J:$J,0))</f>
        <v>#N/A</v>
      </c>
      <c r="X220" s="170">
        <f t="shared" ca="1" si="18"/>
        <v>0</v>
      </c>
      <c r="AB220" s="313" t="str">
        <f t="shared" si="20"/>
        <v/>
      </c>
      <c r="AC220" s="170" t="str">
        <f t="shared" si="21"/>
        <v/>
      </c>
      <c r="AD220" s="170" t="str">
        <f t="shared" si="22"/>
        <v/>
      </c>
    </row>
    <row r="221" spans="1:30" s="170" customFormat="1" ht="20.399999999999999">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9"/>
        <v/>
      </c>
      <c r="T221" s="155" t="str">
        <f ca="1">IF(B221="","",IF(ISERROR(MATCH($J221,SorP!$B$1:$B$6226,0)),"",INDIRECT("'SorP'!$A$"&amp;MATCH($S221&amp;$J221,SorP!C:C,0))))</f>
        <v/>
      </c>
      <c r="U221" s="168"/>
      <c r="V221" s="169" t="e">
        <f>IF(C221="",NA(),MATCH($B221&amp;$C221,'Smelter Look-up'!$J:$J,0))</f>
        <v>#N/A</v>
      </c>
      <c r="X221" s="170">
        <f t="shared" ca="1" si="18"/>
        <v>0</v>
      </c>
      <c r="AB221" s="313" t="str">
        <f t="shared" si="20"/>
        <v/>
      </c>
      <c r="AC221" s="170" t="str">
        <f t="shared" si="21"/>
        <v/>
      </c>
      <c r="AD221" s="170" t="str">
        <f t="shared" si="22"/>
        <v/>
      </c>
    </row>
    <row r="222" spans="1:30" s="170" customFormat="1" ht="20.399999999999999">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9"/>
        <v/>
      </c>
      <c r="T222" s="155" t="str">
        <f ca="1">IF(B222="","",IF(ISERROR(MATCH($J222,SorP!$B$1:$B$6226,0)),"",INDIRECT("'SorP'!$A$"&amp;MATCH($S222&amp;$J222,SorP!C:C,0))))</f>
        <v/>
      </c>
      <c r="U222" s="168"/>
      <c r="V222" s="169" t="e">
        <f>IF(C222="",NA(),MATCH($B222&amp;$C222,'Smelter Look-up'!$J:$J,0))</f>
        <v>#N/A</v>
      </c>
      <c r="X222" s="170">
        <f t="shared" ca="1" si="18"/>
        <v>0</v>
      </c>
      <c r="AB222" s="313" t="str">
        <f t="shared" si="20"/>
        <v/>
      </c>
      <c r="AC222" s="170" t="str">
        <f t="shared" si="21"/>
        <v/>
      </c>
      <c r="AD222" s="170" t="str">
        <f t="shared" si="22"/>
        <v/>
      </c>
    </row>
    <row r="223" spans="1:30" s="170" customFormat="1" ht="20.399999999999999">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9"/>
        <v/>
      </c>
      <c r="T223" s="155" t="str">
        <f ca="1">IF(B223="","",IF(ISERROR(MATCH($J223,SorP!$B$1:$B$6226,0)),"",INDIRECT("'SorP'!$A$"&amp;MATCH($S223&amp;$J223,SorP!C:C,0))))</f>
        <v/>
      </c>
      <c r="U223" s="168"/>
      <c r="V223" s="169" t="e">
        <f>IF(C223="",NA(),MATCH($B223&amp;$C223,'Smelter Look-up'!$J:$J,0))</f>
        <v>#N/A</v>
      </c>
      <c r="X223" s="170">
        <f t="shared" ca="1" si="18"/>
        <v>0</v>
      </c>
      <c r="AB223" s="313" t="str">
        <f t="shared" si="20"/>
        <v/>
      </c>
      <c r="AC223" s="170" t="str">
        <f t="shared" si="21"/>
        <v/>
      </c>
      <c r="AD223" s="170" t="str">
        <f t="shared" si="22"/>
        <v/>
      </c>
    </row>
    <row r="224" spans="1:30" s="170" customFormat="1" ht="20.399999999999999">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9"/>
        <v/>
      </c>
      <c r="T224" s="155" t="str">
        <f ca="1">IF(B224="","",IF(ISERROR(MATCH($J224,SorP!$B$1:$B$6226,0)),"",INDIRECT("'SorP'!$A$"&amp;MATCH($S224&amp;$J224,SorP!C:C,0))))</f>
        <v/>
      </c>
      <c r="U224" s="168"/>
      <c r="V224" s="169" t="e">
        <f>IF(C224="",NA(),MATCH($B224&amp;$C224,'Smelter Look-up'!$J:$J,0))</f>
        <v>#N/A</v>
      </c>
      <c r="X224" s="170">
        <f t="shared" ca="1" si="18"/>
        <v>0</v>
      </c>
      <c r="AB224" s="313" t="str">
        <f t="shared" si="20"/>
        <v/>
      </c>
      <c r="AC224" s="170" t="str">
        <f t="shared" si="21"/>
        <v/>
      </c>
      <c r="AD224" s="170" t="str">
        <f t="shared" si="22"/>
        <v/>
      </c>
    </row>
    <row r="225" spans="1:30" s="170" customFormat="1" ht="20.399999999999999">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9"/>
        <v/>
      </c>
      <c r="T225" s="155" t="str">
        <f ca="1">IF(B225="","",IF(ISERROR(MATCH($J225,SorP!$B$1:$B$6226,0)),"",INDIRECT("'SorP'!$A$"&amp;MATCH($S225&amp;$J225,SorP!C:C,0))))</f>
        <v/>
      </c>
      <c r="U225" s="168"/>
      <c r="V225" s="169" t="e">
        <f>IF(C225="",NA(),MATCH($B225&amp;$C225,'Smelter Look-up'!$J:$J,0))</f>
        <v>#N/A</v>
      </c>
      <c r="X225" s="170">
        <f t="shared" ca="1" si="18"/>
        <v>0</v>
      </c>
      <c r="AB225" s="313" t="str">
        <f t="shared" si="20"/>
        <v/>
      </c>
      <c r="AC225" s="170" t="str">
        <f t="shared" si="21"/>
        <v/>
      </c>
      <c r="AD225" s="170" t="str">
        <f t="shared" si="22"/>
        <v/>
      </c>
    </row>
    <row r="226" spans="1:30" s="170" customFormat="1" ht="20.399999999999999">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9"/>
        <v/>
      </c>
      <c r="T226" s="155" t="str">
        <f ca="1">IF(B226="","",IF(ISERROR(MATCH($J226,SorP!$B$1:$B$6226,0)),"",INDIRECT("'SorP'!$A$"&amp;MATCH($S226&amp;$J226,SorP!C:C,0))))</f>
        <v/>
      </c>
      <c r="U226" s="168"/>
      <c r="V226" s="169" t="e">
        <f>IF(C226="",NA(),MATCH($B226&amp;$C226,'Smelter Look-up'!$J:$J,0))</f>
        <v>#N/A</v>
      </c>
      <c r="X226" s="170">
        <f t="shared" ca="1" si="18"/>
        <v>0</v>
      </c>
      <c r="AB226" s="313" t="str">
        <f t="shared" si="20"/>
        <v/>
      </c>
      <c r="AC226" s="170" t="str">
        <f t="shared" si="21"/>
        <v/>
      </c>
      <c r="AD226" s="170" t="str">
        <f t="shared" si="22"/>
        <v/>
      </c>
    </row>
    <row r="227" spans="1:30" s="170" customFormat="1" ht="20.399999999999999">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9"/>
        <v/>
      </c>
      <c r="T227" s="155" t="str">
        <f ca="1">IF(B227="","",IF(ISERROR(MATCH($J227,SorP!$B$1:$B$6226,0)),"",INDIRECT("'SorP'!$A$"&amp;MATCH($S227&amp;$J227,SorP!C:C,0))))</f>
        <v/>
      </c>
      <c r="U227" s="168"/>
      <c r="V227" s="169" t="e">
        <f>IF(C227="",NA(),MATCH($B227&amp;$C227,'Smelter Look-up'!$J:$J,0))</f>
        <v>#N/A</v>
      </c>
      <c r="X227" s="170">
        <f t="shared" ca="1" si="18"/>
        <v>0</v>
      </c>
      <c r="AB227" s="313" t="str">
        <f t="shared" si="20"/>
        <v/>
      </c>
      <c r="AC227" s="170" t="str">
        <f t="shared" si="21"/>
        <v/>
      </c>
      <c r="AD227" s="170" t="str">
        <f t="shared" si="22"/>
        <v/>
      </c>
    </row>
    <row r="228" spans="1:30" s="170" customFormat="1" ht="20.399999999999999">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9"/>
        <v/>
      </c>
      <c r="T228" s="155" t="str">
        <f ca="1">IF(B228="","",IF(ISERROR(MATCH($J228,SorP!$B$1:$B$6226,0)),"",INDIRECT("'SorP'!$A$"&amp;MATCH($S228&amp;$J228,SorP!C:C,0))))</f>
        <v/>
      </c>
      <c r="U228" s="168"/>
      <c r="V228" s="169" t="e">
        <f>IF(C228="",NA(),MATCH($B228&amp;$C228,'Smelter Look-up'!$J:$J,0))</f>
        <v>#N/A</v>
      </c>
      <c r="X228" s="170">
        <f t="shared" ca="1" si="18"/>
        <v>0</v>
      </c>
      <c r="AB228" s="313" t="str">
        <f t="shared" si="20"/>
        <v/>
      </c>
      <c r="AC228" s="170" t="str">
        <f t="shared" si="21"/>
        <v/>
      </c>
      <c r="AD228" s="170" t="str">
        <f t="shared" si="22"/>
        <v/>
      </c>
    </row>
    <row r="229" spans="1:30" s="170" customFormat="1" ht="20.399999999999999">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9"/>
        <v/>
      </c>
      <c r="T229" s="155" t="str">
        <f ca="1">IF(B229="","",IF(ISERROR(MATCH($J229,SorP!$B$1:$B$6226,0)),"",INDIRECT("'SorP'!$A$"&amp;MATCH($S229&amp;$J229,SorP!C:C,0))))</f>
        <v/>
      </c>
      <c r="U229" s="168"/>
      <c r="V229" s="169" t="e">
        <f>IF(C229="",NA(),MATCH($B229&amp;$C229,'Smelter Look-up'!$J:$J,0))</f>
        <v>#N/A</v>
      </c>
      <c r="X229" s="170">
        <f t="shared" ca="1" si="18"/>
        <v>0</v>
      </c>
      <c r="AB229" s="313" t="str">
        <f t="shared" si="20"/>
        <v/>
      </c>
      <c r="AC229" s="170" t="str">
        <f t="shared" si="21"/>
        <v/>
      </c>
      <c r="AD229" s="170" t="str">
        <f t="shared" si="22"/>
        <v/>
      </c>
    </row>
    <row r="230" spans="1:30" s="170" customFormat="1" ht="20.399999999999999">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9"/>
        <v/>
      </c>
      <c r="T230" s="155" t="str">
        <f ca="1">IF(B230="","",IF(ISERROR(MATCH($J230,SorP!$B$1:$B$6226,0)),"",INDIRECT("'SorP'!$A$"&amp;MATCH($S230&amp;$J230,SorP!C:C,0))))</f>
        <v/>
      </c>
      <c r="U230" s="168"/>
      <c r="V230" s="169" t="e">
        <f>IF(C230="",NA(),MATCH($B230&amp;$C230,'Smelter Look-up'!$J:$J,0))</f>
        <v>#N/A</v>
      </c>
      <c r="X230" s="170">
        <f t="shared" ca="1" si="18"/>
        <v>0</v>
      </c>
      <c r="AB230" s="313" t="str">
        <f t="shared" si="20"/>
        <v/>
      </c>
      <c r="AC230" s="170" t="str">
        <f t="shared" si="21"/>
        <v/>
      </c>
      <c r="AD230" s="170" t="str">
        <f t="shared" si="22"/>
        <v/>
      </c>
    </row>
    <row r="231" spans="1:30" s="170" customFormat="1" ht="20.399999999999999">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9"/>
        <v/>
      </c>
      <c r="T231" s="155" t="str">
        <f ca="1">IF(B231="","",IF(ISERROR(MATCH($J231,SorP!$B$1:$B$6226,0)),"",INDIRECT("'SorP'!$A$"&amp;MATCH($S231&amp;$J231,SorP!C:C,0))))</f>
        <v/>
      </c>
      <c r="U231" s="168"/>
      <c r="V231" s="169" t="e">
        <f>IF(C231="",NA(),MATCH($B231&amp;$C231,'Smelter Look-up'!$J:$J,0))</f>
        <v>#N/A</v>
      </c>
      <c r="X231" s="170">
        <f t="shared" ca="1" si="18"/>
        <v>0</v>
      </c>
      <c r="AB231" s="313" t="str">
        <f t="shared" si="20"/>
        <v/>
      </c>
      <c r="AC231" s="170" t="str">
        <f t="shared" si="21"/>
        <v/>
      </c>
      <c r="AD231" s="170" t="str">
        <f t="shared" si="22"/>
        <v/>
      </c>
    </row>
    <row r="232" spans="1:30" s="170" customFormat="1" ht="20.399999999999999">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9"/>
        <v/>
      </c>
      <c r="T232" s="155" t="str">
        <f ca="1">IF(B232="","",IF(ISERROR(MATCH($J232,SorP!$B$1:$B$6226,0)),"",INDIRECT("'SorP'!$A$"&amp;MATCH($S232&amp;$J232,SorP!C:C,0))))</f>
        <v/>
      </c>
      <c r="U232" s="168"/>
      <c r="V232" s="169" t="e">
        <f>IF(C232="",NA(),MATCH($B232&amp;$C232,'Smelter Look-up'!$J:$J,0))</f>
        <v>#N/A</v>
      </c>
      <c r="X232" s="170">
        <f t="shared" ca="1" si="18"/>
        <v>0</v>
      </c>
      <c r="AB232" s="313" t="str">
        <f t="shared" si="20"/>
        <v/>
      </c>
      <c r="AC232" s="170" t="str">
        <f t="shared" si="21"/>
        <v/>
      </c>
      <c r="AD232" s="170" t="str">
        <f t="shared" si="22"/>
        <v/>
      </c>
    </row>
    <row r="233" spans="1:30" s="170" customFormat="1" ht="20.399999999999999">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9"/>
        <v/>
      </c>
      <c r="T233" s="155" t="str">
        <f ca="1">IF(B233="","",IF(ISERROR(MATCH($J233,SorP!$B$1:$B$6226,0)),"",INDIRECT("'SorP'!$A$"&amp;MATCH($S233&amp;$J233,SorP!C:C,0))))</f>
        <v/>
      </c>
      <c r="U233" s="168"/>
      <c r="V233" s="169" t="e">
        <f>IF(C233="",NA(),MATCH($B233&amp;$C233,'Smelter Look-up'!$J:$J,0))</f>
        <v>#N/A</v>
      </c>
      <c r="X233" s="170">
        <f t="shared" ca="1" si="18"/>
        <v>0</v>
      </c>
      <c r="AB233" s="313" t="str">
        <f t="shared" si="20"/>
        <v/>
      </c>
      <c r="AC233" s="170" t="str">
        <f t="shared" si="21"/>
        <v/>
      </c>
      <c r="AD233" s="170" t="str">
        <f t="shared" si="22"/>
        <v/>
      </c>
    </row>
    <row r="234" spans="1:30" s="170" customFormat="1" ht="20.399999999999999">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9"/>
        <v/>
      </c>
      <c r="T234" s="155" t="str">
        <f ca="1">IF(B234="","",IF(ISERROR(MATCH($J234,SorP!$B$1:$B$6226,0)),"",INDIRECT("'SorP'!$A$"&amp;MATCH($S234&amp;$J234,SorP!C:C,0))))</f>
        <v/>
      </c>
      <c r="U234" s="168"/>
      <c r="V234" s="169" t="e">
        <f>IF(C234="",NA(),MATCH($B234&amp;$C234,'Smelter Look-up'!$J:$J,0))</f>
        <v>#N/A</v>
      </c>
      <c r="X234" s="170">
        <f t="shared" ca="1" si="18"/>
        <v>0</v>
      </c>
      <c r="AB234" s="313" t="str">
        <f t="shared" si="20"/>
        <v/>
      </c>
      <c r="AC234" s="170" t="str">
        <f t="shared" si="21"/>
        <v/>
      </c>
      <c r="AD234" s="170" t="str">
        <f t="shared" si="22"/>
        <v/>
      </c>
    </row>
    <row r="235" spans="1:30" s="170" customFormat="1" ht="20.399999999999999">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9"/>
        <v/>
      </c>
      <c r="T235" s="155" t="str">
        <f ca="1">IF(B235="","",IF(ISERROR(MATCH($J235,SorP!$B$1:$B$6226,0)),"",INDIRECT("'SorP'!$A$"&amp;MATCH($S235&amp;$J235,SorP!C:C,0))))</f>
        <v/>
      </c>
      <c r="U235" s="168"/>
      <c r="V235" s="169" t="e">
        <f>IF(C235="",NA(),MATCH($B235&amp;$C235,'Smelter Look-up'!$J:$J,0))</f>
        <v>#N/A</v>
      </c>
      <c r="X235" s="170">
        <f t="shared" ca="1" si="18"/>
        <v>0</v>
      </c>
      <c r="AB235" s="313" t="str">
        <f t="shared" si="20"/>
        <v/>
      </c>
      <c r="AC235" s="170" t="str">
        <f t="shared" si="21"/>
        <v/>
      </c>
      <c r="AD235" s="170" t="str">
        <f t="shared" si="22"/>
        <v/>
      </c>
    </row>
    <row r="236" spans="1:30" s="170" customFormat="1" ht="20.399999999999999">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9"/>
        <v/>
      </c>
      <c r="T236" s="155" t="str">
        <f ca="1">IF(B236="","",IF(ISERROR(MATCH($J236,SorP!$B$1:$B$6226,0)),"",INDIRECT("'SorP'!$A$"&amp;MATCH($S236&amp;$J236,SorP!C:C,0))))</f>
        <v/>
      </c>
      <c r="U236" s="168"/>
      <c r="V236" s="169" t="e">
        <f>IF(C236="",NA(),MATCH($B236&amp;$C236,'Smelter Look-up'!$J:$J,0))</f>
        <v>#N/A</v>
      </c>
      <c r="X236" s="170">
        <f t="shared" ca="1" si="18"/>
        <v>0</v>
      </c>
      <c r="AB236" s="313" t="str">
        <f t="shared" si="20"/>
        <v/>
      </c>
      <c r="AC236" s="170" t="str">
        <f t="shared" si="21"/>
        <v/>
      </c>
      <c r="AD236" s="170" t="str">
        <f t="shared" si="22"/>
        <v/>
      </c>
    </row>
    <row r="237" spans="1:30" s="170" customFormat="1" ht="20.399999999999999">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9"/>
        <v/>
      </c>
      <c r="T237" s="155" t="str">
        <f ca="1">IF(B237="","",IF(ISERROR(MATCH($J237,SorP!$B$1:$B$6226,0)),"",INDIRECT("'SorP'!$A$"&amp;MATCH($S237&amp;$J237,SorP!C:C,0))))</f>
        <v/>
      </c>
      <c r="U237" s="168"/>
      <c r="V237" s="169" t="e">
        <f>IF(C237="",NA(),MATCH($B237&amp;$C237,'Smelter Look-up'!$J:$J,0))</f>
        <v>#N/A</v>
      </c>
      <c r="X237" s="170">
        <f t="shared" ca="1" si="18"/>
        <v>0</v>
      </c>
      <c r="AB237" s="313" t="str">
        <f t="shared" si="20"/>
        <v/>
      </c>
      <c r="AC237" s="170" t="str">
        <f t="shared" si="21"/>
        <v/>
      </c>
      <c r="AD237" s="170" t="str">
        <f t="shared" si="22"/>
        <v/>
      </c>
    </row>
    <row r="238" spans="1:30" s="170" customFormat="1" ht="20.399999999999999">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9"/>
        <v/>
      </c>
      <c r="T238" s="155" t="str">
        <f ca="1">IF(B238="","",IF(ISERROR(MATCH($J238,SorP!$B$1:$B$6226,0)),"",INDIRECT("'SorP'!$A$"&amp;MATCH($S238&amp;$J238,SorP!C:C,0))))</f>
        <v/>
      </c>
      <c r="U238" s="168"/>
      <c r="V238" s="169" t="e">
        <f>IF(C238="",NA(),MATCH($B238&amp;$C238,'Smelter Look-up'!$J:$J,0))</f>
        <v>#N/A</v>
      </c>
      <c r="X238" s="170">
        <f t="shared" ca="1" si="18"/>
        <v>0</v>
      </c>
      <c r="AB238" s="313" t="str">
        <f t="shared" si="20"/>
        <v/>
      </c>
      <c r="AC238" s="170" t="str">
        <f t="shared" si="21"/>
        <v/>
      </c>
      <c r="AD238" s="170" t="str">
        <f t="shared" si="22"/>
        <v/>
      </c>
    </row>
    <row r="239" spans="1:30" s="170" customFormat="1" ht="20.399999999999999">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9"/>
        <v/>
      </c>
      <c r="T239" s="155" t="str">
        <f ca="1">IF(B239="","",IF(ISERROR(MATCH($J239,SorP!$B$1:$B$6226,0)),"",INDIRECT("'SorP'!$A$"&amp;MATCH($S239&amp;$J239,SorP!C:C,0))))</f>
        <v/>
      </c>
      <c r="U239" s="168"/>
      <c r="V239" s="169" t="e">
        <f>IF(C239="",NA(),MATCH($B239&amp;$C239,'Smelter Look-up'!$J:$J,0))</f>
        <v>#N/A</v>
      </c>
      <c r="X239" s="170">
        <f t="shared" ca="1" si="18"/>
        <v>0</v>
      </c>
      <c r="AB239" s="313" t="str">
        <f t="shared" si="20"/>
        <v/>
      </c>
      <c r="AC239" s="170" t="str">
        <f t="shared" si="21"/>
        <v/>
      </c>
      <c r="AD239" s="170" t="str">
        <f t="shared" si="22"/>
        <v/>
      </c>
    </row>
    <row r="240" spans="1:30" s="170" customFormat="1" ht="20.399999999999999">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9"/>
        <v/>
      </c>
      <c r="T240" s="155" t="str">
        <f ca="1">IF(B240="","",IF(ISERROR(MATCH($J240,SorP!$B$1:$B$6226,0)),"",INDIRECT("'SorP'!$A$"&amp;MATCH($S240&amp;$J240,SorP!C:C,0))))</f>
        <v/>
      </c>
      <c r="U240" s="168"/>
      <c r="V240" s="169" t="e">
        <f>IF(C240="",NA(),MATCH($B240&amp;$C240,'Smelter Look-up'!$J:$J,0))</f>
        <v>#N/A</v>
      </c>
      <c r="X240" s="170">
        <f t="shared" ca="1" si="18"/>
        <v>0</v>
      </c>
      <c r="AB240" s="313" t="str">
        <f t="shared" si="20"/>
        <v/>
      </c>
      <c r="AC240" s="170" t="str">
        <f t="shared" si="21"/>
        <v/>
      </c>
      <c r="AD240" s="170" t="str">
        <f t="shared" si="22"/>
        <v/>
      </c>
    </row>
    <row r="241" spans="1:30" s="170" customFormat="1" ht="20.399999999999999">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9"/>
        <v/>
      </c>
      <c r="T241" s="155" t="str">
        <f ca="1">IF(B241="","",IF(ISERROR(MATCH($J241,SorP!$B$1:$B$6226,0)),"",INDIRECT("'SorP'!$A$"&amp;MATCH($S241&amp;$J241,SorP!C:C,0))))</f>
        <v/>
      </c>
      <c r="U241" s="168"/>
      <c r="V241" s="169" t="e">
        <f>IF(C241="",NA(),MATCH($B241&amp;$C241,'Smelter Look-up'!$J:$J,0))</f>
        <v>#N/A</v>
      </c>
      <c r="X241" s="170">
        <f t="shared" ca="1" si="18"/>
        <v>0</v>
      </c>
      <c r="AB241" s="313" t="str">
        <f t="shared" si="20"/>
        <v/>
      </c>
      <c r="AC241" s="170" t="str">
        <f t="shared" si="21"/>
        <v/>
      </c>
      <c r="AD241" s="170" t="str">
        <f t="shared" si="22"/>
        <v/>
      </c>
    </row>
    <row r="242" spans="1:30" s="170" customFormat="1" ht="20.399999999999999">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9"/>
        <v/>
      </c>
      <c r="T242" s="155" t="str">
        <f ca="1">IF(B242="","",IF(ISERROR(MATCH($J242,SorP!$B$1:$B$6226,0)),"",INDIRECT("'SorP'!$A$"&amp;MATCH($S242&amp;$J242,SorP!C:C,0))))</f>
        <v/>
      </c>
      <c r="U242" s="168"/>
      <c r="V242" s="169" t="e">
        <f>IF(C242="",NA(),MATCH($B242&amp;$C242,'Smelter Look-up'!$J:$J,0))</f>
        <v>#N/A</v>
      </c>
      <c r="X242" s="170">
        <f t="shared" ca="1" si="18"/>
        <v>0</v>
      </c>
      <c r="AB242" s="313" t="str">
        <f t="shared" si="20"/>
        <v/>
      </c>
      <c r="AC242" s="170" t="str">
        <f t="shared" si="21"/>
        <v/>
      </c>
      <c r="AD242" s="170" t="str">
        <f t="shared" si="22"/>
        <v/>
      </c>
    </row>
    <row r="243" spans="1:30" s="170" customFormat="1" ht="20.399999999999999">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9"/>
        <v/>
      </c>
      <c r="T243" s="155" t="str">
        <f ca="1">IF(B243="","",IF(ISERROR(MATCH($J243,SorP!$B$1:$B$6226,0)),"",INDIRECT("'SorP'!$A$"&amp;MATCH($S243&amp;$J243,SorP!C:C,0))))</f>
        <v/>
      </c>
      <c r="U243" s="168"/>
      <c r="V243" s="169" t="e">
        <f>IF(C243="",NA(),MATCH($B243&amp;$C243,'Smelter Look-up'!$J:$J,0))</f>
        <v>#N/A</v>
      </c>
      <c r="X243" s="170">
        <f t="shared" ca="1" si="18"/>
        <v>0</v>
      </c>
      <c r="AB243" s="313" t="str">
        <f t="shared" si="20"/>
        <v/>
      </c>
      <c r="AC243" s="170" t="str">
        <f t="shared" si="21"/>
        <v/>
      </c>
      <c r="AD243" s="170" t="str">
        <f t="shared" si="22"/>
        <v/>
      </c>
    </row>
    <row r="244" spans="1:30" s="170" customFormat="1" ht="20.399999999999999">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9"/>
        <v/>
      </c>
      <c r="T244" s="155" t="str">
        <f ca="1">IF(B244="","",IF(ISERROR(MATCH($J244,SorP!$B$1:$B$6226,0)),"",INDIRECT("'SorP'!$A$"&amp;MATCH($S244&amp;$J244,SorP!C:C,0))))</f>
        <v/>
      </c>
      <c r="U244" s="168"/>
      <c r="V244" s="169" t="e">
        <f>IF(C244="",NA(),MATCH($B244&amp;$C244,'Smelter Look-up'!$J:$J,0))</f>
        <v>#N/A</v>
      </c>
      <c r="X244" s="170">
        <f t="shared" ca="1" si="18"/>
        <v>0</v>
      </c>
      <c r="AB244" s="313" t="str">
        <f t="shared" si="20"/>
        <v/>
      </c>
      <c r="AC244" s="170" t="str">
        <f t="shared" si="21"/>
        <v/>
      </c>
      <c r="AD244" s="170" t="str">
        <f t="shared" si="22"/>
        <v/>
      </c>
    </row>
    <row r="245" spans="1:30" s="170" customFormat="1" ht="20.399999999999999">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9"/>
        <v/>
      </c>
      <c r="T245" s="155" t="str">
        <f ca="1">IF(B245="","",IF(ISERROR(MATCH($J245,SorP!$B$1:$B$6226,0)),"",INDIRECT("'SorP'!$A$"&amp;MATCH($S245&amp;$J245,SorP!C:C,0))))</f>
        <v/>
      </c>
      <c r="U245" s="168"/>
      <c r="V245" s="169" t="e">
        <f>IF(C245="",NA(),MATCH($B245&amp;$C245,'Smelter Look-up'!$J:$J,0))</f>
        <v>#N/A</v>
      </c>
      <c r="X245" s="170">
        <f t="shared" ca="1" si="18"/>
        <v>0</v>
      </c>
      <c r="AB245" s="313" t="str">
        <f t="shared" si="20"/>
        <v/>
      </c>
      <c r="AC245" s="170" t="str">
        <f t="shared" si="21"/>
        <v/>
      </c>
      <c r="AD245" s="170" t="str">
        <f t="shared" si="22"/>
        <v/>
      </c>
    </row>
    <row r="246" spans="1:30" s="170" customFormat="1" ht="20.399999999999999">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9"/>
        <v/>
      </c>
      <c r="T246" s="155" t="str">
        <f ca="1">IF(B246="","",IF(ISERROR(MATCH($J246,SorP!$B$1:$B$6226,0)),"",INDIRECT("'SorP'!$A$"&amp;MATCH($S246&amp;$J246,SorP!C:C,0))))</f>
        <v/>
      </c>
      <c r="U246" s="168"/>
      <c r="V246" s="169" t="e">
        <f>IF(C246="",NA(),MATCH($B246&amp;$C246,'Smelter Look-up'!$J:$J,0))</f>
        <v>#N/A</v>
      </c>
      <c r="X246" s="170">
        <f t="shared" ca="1" si="18"/>
        <v>0</v>
      </c>
      <c r="AB246" s="313" t="str">
        <f t="shared" si="20"/>
        <v/>
      </c>
      <c r="AC246" s="170" t="str">
        <f t="shared" si="21"/>
        <v/>
      </c>
      <c r="AD246" s="170" t="str">
        <f t="shared" si="22"/>
        <v/>
      </c>
    </row>
    <row r="247" spans="1:30" s="170" customFormat="1" ht="20.399999999999999">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9"/>
        <v/>
      </c>
      <c r="T247" s="155" t="str">
        <f ca="1">IF(B247="","",IF(ISERROR(MATCH($J247,SorP!$B$1:$B$6226,0)),"",INDIRECT("'SorP'!$A$"&amp;MATCH($S247&amp;$J247,SorP!C:C,0))))</f>
        <v/>
      </c>
      <c r="U247" s="168"/>
      <c r="V247" s="169" t="e">
        <f>IF(C247="",NA(),MATCH($B247&amp;$C247,'Smelter Look-up'!$J:$J,0))</f>
        <v>#N/A</v>
      </c>
      <c r="X247" s="170">
        <f t="shared" ca="1" si="18"/>
        <v>0</v>
      </c>
      <c r="AB247" s="313" t="str">
        <f t="shared" si="20"/>
        <v/>
      </c>
      <c r="AC247" s="170" t="str">
        <f t="shared" si="21"/>
        <v/>
      </c>
      <c r="AD247" s="170" t="str">
        <f t="shared" si="22"/>
        <v/>
      </c>
    </row>
    <row r="248" spans="1:30" s="170" customFormat="1" ht="20.399999999999999">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9"/>
        <v/>
      </c>
      <c r="T248" s="155" t="str">
        <f ca="1">IF(B248="","",IF(ISERROR(MATCH($J248,SorP!$B$1:$B$6226,0)),"",INDIRECT("'SorP'!$A$"&amp;MATCH($S248&amp;$J248,SorP!C:C,0))))</f>
        <v/>
      </c>
      <c r="U248" s="168"/>
      <c r="V248" s="169" t="e">
        <f>IF(C248="",NA(),MATCH($B248&amp;$C248,'Smelter Look-up'!$J:$J,0))</f>
        <v>#N/A</v>
      </c>
      <c r="X248" s="170">
        <f t="shared" ca="1" si="18"/>
        <v>0</v>
      </c>
      <c r="AB248" s="313" t="str">
        <f t="shared" si="20"/>
        <v/>
      </c>
      <c r="AC248" s="170" t="str">
        <f t="shared" si="21"/>
        <v/>
      </c>
      <c r="AD248" s="170" t="str">
        <f t="shared" si="22"/>
        <v/>
      </c>
    </row>
    <row r="249" spans="1:30" s="170" customFormat="1" ht="20.399999999999999">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9"/>
        <v/>
      </c>
      <c r="T249" s="155" t="str">
        <f ca="1">IF(B249="","",IF(ISERROR(MATCH($J249,SorP!$B$1:$B$6226,0)),"",INDIRECT("'SorP'!$A$"&amp;MATCH($S249&amp;$J249,SorP!C:C,0))))</f>
        <v/>
      </c>
      <c r="U249" s="168"/>
      <c r="V249" s="169" t="e">
        <f>IF(C249="",NA(),MATCH($B249&amp;$C249,'Smelter Look-up'!$J:$J,0))</f>
        <v>#N/A</v>
      </c>
      <c r="X249" s="170">
        <f t="shared" ca="1" si="18"/>
        <v>0</v>
      </c>
      <c r="AB249" s="313" t="str">
        <f t="shared" si="20"/>
        <v/>
      </c>
      <c r="AC249" s="170" t="str">
        <f t="shared" si="21"/>
        <v/>
      </c>
      <c r="AD249" s="170" t="str">
        <f t="shared" si="22"/>
        <v/>
      </c>
    </row>
    <row r="250" spans="1:30" s="170" customFormat="1" ht="20.399999999999999">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9"/>
        <v/>
      </c>
      <c r="T250" s="155" t="str">
        <f ca="1">IF(B250="","",IF(ISERROR(MATCH($J250,SorP!$B$1:$B$6226,0)),"",INDIRECT("'SorP'!$A$"&amp;MATCH($S250&amp;$J250,SorP!C:C,0))))</f>
        <v/>
      </c>
      <c r="U250" s="168"/>
      <c r="V250" s="169" t="e">
        <f>IF(C250="",NA(),MATCH($B250&amp;$C250,'Smelter Look-up'!$J:$J,0))</f>
        <v>#N/A</v>
      </c>
      <c r="X250" s="170">
        <f t="shared" ca="1" si="18"/>
        <v>0</v>
      </c>
      <c r="AB250" s="313" t="str">
        <f t="shared" si="20"/>
        <v/>
      </c>
      <c r="AC250" s="170" t="str">
        <f t="shared" si="21"/>
        <v/>
      </c>
      <c r="AD250" s="170" t="str">
        <f t="shared" si="22"/>
        <v/>
      </c>
    </row>
    <row r="251" spans="1:30" s="170" customFormat="1" ht="20.399999999999999">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9"/>
        <v/>
      </c>
      <c r="T251" s="155" t="str">
        <f ca="1">IF(B251="","",IF(ISERROR(MATCH($J251,SorP!$B$1:$B$6226,0)),"",INDIRECT("'SorP'!$A$"&amp;MATCH($S251&amp;$J251,SorP!C:C,0))))</f>
        <v/>
      </c>
      <c r="U251" s="168"/>
      <c r="V251" s="169" t="e">
        <f>IF(C251="",NA(),MATCH($B251&amp;$C251,'Smelter Look-up'!$J:$J,0))</f>
        <v>#N/A</v>
      </c>
      <c r="X251" s="170">
        <f t="shared" ca="1" si="18"/>
        <v>0</v>
      </c>
      <c r="AB251" s="313" t="str">
        <f t="shared" si="20"/>
        <v/>
      </c>
      <c r="AC251" s="170" t="str">
        <f t="shared" si="21"/>
        <v/>
      </c>
      <c r="AD251" s="170" t="str">
        <f t="shared" si="22"/>
        <v/>
      </c>
    </row>
    <row r="252" spans="1:30" s="170" customFormat="1" ht="20.399999999999999">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9"/>
        <v/>
      </c>
      <c r="T252" s="155" t="str">
        <f ca="1">IF(B252="","",IF(ISERROR(MATCH($J252,SorP!$B$1:$B$6226,0)),"",INDIRECT("'SorP'!$A$"&amp;MATCH($S252&amp;$J252,SorP!C:C,0))))</f>
        <v/>
      </c>
      <c r="U252" s="168"/>
      <c r="V252" s="169" t="e">
        <f>IF(C252="",NA(),MATCH($B252&amp;$C252,'Smelter Look-up'!$J:$J,0))</f>
        <v>#N/A</v>
      </c>
      <c r="X252" s="170">
        <f t="shared" ca="1" si="18"/>
        <v>0</v>
      </c>
      <c r="AB252" s="313" t="str">
        <f t="shared" si="20"/>
        <v/>
      </c>
      <c r="AC252" s="170" t="str">
        <f t="shared" si="21"/>
        <v/>
      </c>
      <c r="AD252" s="170" t="str">
        <f t="shared" si="22"/>
        <v/>
      </c>
    </row>
    <row r="253" spans="1:30" s="170" customFormat="1" ht="20.399999999999999">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9"/>
        <v/>
      </c>
      <c r="T253" s="155" t="str">
        <f ca="1">IF(B253="","",IF(ISERROR(MATCH($J253,SorP!$B$1:$B$6226,0)),"",INDIRECT("'SorP'!$A$"&amp;MATCH($S253&amp;$J253,SorP!C:C,0))))</f>
        <v/>
      </c>
      <c r="U253" s="168"/>
      <c r="V253" s="169" t="e">
        <f>IF(C253="",NA(),MATCH($B253&amp;$C253,'Smelter Look-up'!$J:$J,0))</f>
        <v>#N/A</v>
      </c>
      <c r="X253" s="170">
        <f t="shared" ca="1" si="18"/>
        <v>0</v>
      </c>
      <c r="AB253" s="313" t="str">
        <f t="shared" si="20"/>
        <v/>
      </c>
      <c r="AC253" s="170" t="str">
        <f t="shared" si="21"/>
        <v/>
      </c>
      <c r="AD253" s="170" t="str">
        <f t="shared" si="22"/>
        <v/>
      </c>
    </row>
    <row r="254" spans="1:30" s="170" customFormat="1" ht="20.399999999999999">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9"/>
        <v/>
      </c>
      <c r="T254" s="155" t="str">
        <f ca="1">IF(B254="","",IF(ISERROR(MATCH($J254,SorP!$B$1:$B$6226,0)),"",INDIRECT("'SorP'!$A$"&amp;MATCH($S254&amp;$J254,SorP!C:C,0))))</f>
        <v/>
      </c>
      <c r="U254" s="168"/>
      <c r="V254" s="169" t="e">
        <f>IF(C254="",NA(),MATCH($B254&amp;$C254,'Smelter Look-up'!$J:$J,0))</f>
        <v>#N/A</v>
      </c>
      <c r="X254" s="170">
        <f t="shared" ca="1" si="18"/>
        <v>0</v>
      </c>
      <c r="AB254" s="313" t="str">
        <f t="shared" si="20"/>
        <v/>
      </c>
      <c r="AC254" s="170" t="str">
        <f t="shared" si="21"/>
        <v/>
      </c>
      <c r="AD254" s="170" t="str">
        <f t="shared" si="22"/>
        <v/>
      </c>
    </row>
    <row r="255" spans="1:30" s="170" customFormat="1" ht="20.399999999999999">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9"/>
        <v/>
      </c>
      <c r="T255" s="155" t="str">
        <f ca="1">IF(B255="","",IF(ISERROR(MATCH($J255,SorP!$B$1:$B$6226,0)),"",INDIRECT("'SorP'!$A$"&amp;MATCH($S255&amp;$J255,SorP!C:C,0))))</f>
        <v/>
      </c>
      <c r="U255" s="168"/>
      <c r="V255" s="169" t="e">
        <f>IF(C255="",NA(),MATCH($B255&amp;$C255,'Smelter Look-up'!$J:$J,0))</f>
        <v>#N/A</v>
      </c>
      <c r="X255" s="170">
        <f t="shared" ref="X255:X318" ca="1" si="23">IF(AND(C255="Smelter not listed",OR(LEN(D255)=0,LEN(E255)=0)),1,0)</f>
        <v>0</v>
      </c>
      <c r="AB255" s="313" t="str">
        <f t="shared" si="20"/>
        <v/>
      </c>
      <c r="AC255" s="170" t="str">
        <f t="shared" si="21"/>
        <v/>
      </c>
      <c r="AD255" s="170" t="str">
        <f t="shared" si="22"/>
        <v/>
      </c>
    </row>
    <row r="256" spans="1:30" s="170" customFormat="1" ht="20.399999999999999">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ref="S256:S319" ca="1" si="24">IF(B256="","",IF(ISERROR(MATCH($E256,CL,0)),"Unknown",INDIRECT("'C'!$A$"&amp;MATCH($E256,CL,0)+1)))</f>
        <v/>
      </c>
      <c r="T256" s="155" t="str">
        <f ca="1">IF(B256="","",IF(ISERROR(MATCH($J256,SorP!$B$1:$B$6226,0)),"",INDIRECT("'SorP'!$A$"&amp;MATCH($S256&amp;$J256,SorP!C:C,0))))</f>
        <v/>
      </c>
      <c r="U256" s="168"/>
      <c r="V256" s="169" t="e">
        <f>IF(C256="",NA(),MATCH($B256&amp;$C256,'Smelter Look-up'!$J:$J,0))</f>
        <v>#N/A</v>
      </c>
      <c r="X256" s="170">
        <f t="shared" ca="1" si="23"/>
        <v>0</v>
      </c>
      <c r="AB256" s="313" t="str">
        <f t="shared" si="20"/>
        <v/>
      </c>
      <c r="AC256" s="170" t="str">
        <f t="shared" si="21"/>
        <v/>
      </c>
      <c r="AD256" s="170" t="str">
        <f t="shared" si="22"/>
        <v/>
      </c>
    </row>
    <row r="257" spans="1:30" s="170" customFormat="1" ht="20.399999999999999">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24"/>
        <v/>
      </c>
      <c r="T257" s="155" t="str">
        <f ca="1">IF(B257="","",IF(ISERROR(MATCH($J257,SorP!$B$1:$B$6226,0)),"",INDIRECT("'SorP'!$A$"&amp;MATCH($S257&amp;$J257,SorP!C:C,0))))</f>
        <v/>
      </c>
      <c r="U257" s="168"/>
      <c r="V257" s="169" t="e">
        <f>IF(C257="",NA(),MATCH($B257&amp;$C257,'Smelter Look-up'!$J:$J,0))</f>
        <v>#N/A</v>
      </c>
      <c r="X257" s="170">
        <f t="shared" ca="1" si="23"/>
        <v>0</v>
      </c>
      <c r="AB257" s="313" t="str">
        <f t="shared" si="20"/>
        <v/>
      </c>
      <c r="AC257" s="170" t="str">
        <f t="shared" si="21"/>
        <v/>
      </c>
      <c r="AD257" s="170" t="str">
        <f t="shared" si="22"/>
        <v/>
      </c>
    </row>
    <row r="258" spans="1:30" s="170" customFormat="1" ht="20.399999999999999">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24"/>
        <v/>
      </c>
      <c r="T258" s="155" t="str">
        <f ca="1">IF(B258="","",IF(ISERROR(MATCH($J258,SorP!$B$1:$B$6226,0)),"",INDIRECT("'SorP'!$A$"&amp;MATCH($S258&amp;$J258,SorP!C:C,0))))</f>
        <v/>
      </c>
      <c r="U258" s="168"/>
      <c r="V258" s="169" t="e">
        <f>IF(C258="",NA(),MATCH($B258&amp;$C258,'Smelter Look-up'!$J:$J,0))</f>
        <v>#N/A</v>
      </c>
      <c r="X258" s="170">
        <f t="shared" ca="1" si="23"/>
        <v>0</v>
      </c>
      <c r="AB258" s="313" t="str">
        <f t="shared" si="20"/>
        <v/>
      </c>
      <c r="AC258" s="170" t="str">
        <f t="shared" si="21"/>
        <v/>
      </c>
      <c r="AD258" s="170" t="str">
        <f t="shared" si="22"/>
        <v/>
      </c>
    </row>
    <row r="259" spans="1:30" s="170" customFormat="1" ht="20.399999999999999">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24"/>
        <v/>
      </c>
      <c r="T259" s="155" t="str">
        <f ca="1">IF(B259="","",IF(ISERROR(MATCH($J259,SorP!$B$1:$B$6226,0)),"",INDIRECT("'SorP'!$A$"&amp;MATCH($S259&amp;$J259,SorP!C:C,0))))</f>
        <v/>
      </c>
      <c r="U259" s="168"/>
      <c r="V259" s="169" t="e">
        <f>IF(C259="",NA(),MATCH($B259&amp;$C259,'Smelter Look-up'!$J:$J,0))</f>
        <v>#N/A</v>
      </c>
      <c r="X259" s="170">
        <f t="shared" ca="1" si="23"/>
        <v>0</v>
      </c>
      <c r="AB259" s="313" t="str">
        <f t="shared" si="20"/>
        <v/>
      </c>
      <c r="AC259" s="170" t="str">
        <f t="shared" si="21"/>
        <v/>
      </c>
      <c r="AD259" s="170" t="str">
        <f t="shared" si="22"/>
        <v/>
      </c>
    </row>
    <row r="260" spans="1:30" s="170" customFormat="1" ht="20.399999999999999">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24"/>
        <v/>
      </c>
      <c r="T260" s="155" t="str">
        <f ca="1">IF(B260="","",IF(ISERROR(MATCH($J260,SorP!$B$1:$B$6226,0)),"",INDIRECT("'SorP'!$A$"&amp;MATCH($S260&amp;$J260,SorP!C:C,0))))</f>
        <v/>
      </c>
      <c r="U260" s="168"/>
      <c r="V260" s="169" t="e">
        <f>IF(C260="",NA(),MATCH($B260&amp;$C260,'Smelter Look-up'!$J:$J,0))</f>
        <v>#N/A</v>
      </c>
      <c r="X260" s="170">
        <f t="shared" ca="1" si="23"/>
        <v>0</v>
      </c>
      <c r="AB260" s="313" t="str">
        <f t="shared" si="20"/>
        <v/>
      </c>
      <c r="AC260" s="170" t="str">
        <f t="shared" si="21"/>
        <v/>
      </c>
      <c r="AD260" s="170" t="str">
        <f t="shared" si="22"/>
        <v/>
      </c>
    </row>
    <row r="261" spans="1:30" s="170" customFormat="1" ht="20.399999999999999">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24"/>
        <v/>
      </c>
      <c r="T261" s="155" t="str">
        <f ca="1">IF(B261="","",IF(ISERROR(MATCH($J261,SorP!$B$1:$B$6226,0)),"",INDIRECT("'SorP'!$A$"&amp;MATCH($S261&amp;$J261,SorP!C:C,0))))</f>
        <v/>
      </c>
      <c r="U261" s="168"/>
      <c r="V261" s="169" t="e">
        <f>IF(C261="",NA(),MATCH($B261&amp;$C261,'Smelter Look-up'!$J:$J,0))</f>
        <v>#N/A</v>
      </c>
      <c r="X261" s="170">
        <f t="shared" ca="1" si="23"/>
        <v>0</v>
      </c>
      <c r="AB261" s="313" t="str">
        <f t="shared" si="20"/>
        <v/>
      </c>
      <c r="AC261" s="170" t="str">
        <f t="shared" si="21"/>
        <v/>
      </c>
      <c r="AD261" s="170" t="str">
        <f t="shared" si="22"/>
        <v/>
      </c>
    </row>
    <row r="262" spans="1:30" s="170" customFormat="1" ht="20.399999999999999">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24"/>
        <v/>
      </c>
      <c r="T262" s="155" t="str">
        <f ca="1">IF(B262="","",IF(ISERROR(MATCH($J262,SorP!$B$1:$B$6226,0)),"",INDIRECT("'SorP'!$A$"&amp;MATCH($S262&amp;$J262,SorP!C:C,0))))</f>
        <v/>
      </c>
      <c r="U262" s="168"/>
      <c r="V262" s="169" t="e">
        <f>IF(C262="",NA(),MATCH($B262&amp;$C262,'Smelter Look-up'!$J:$J,0))</f>
        <v>#N/A</v>
      </c>
      <c r="X262" s="170">
        <f t="shared" ca="1" si="23"/>
        <v>0</v>
      </c>
      <c r="AB262" s="313" t="str">
        <f t="shared" ref="AB262:AB325" si="25">IF(C262="","",B262)</f>
        <v/>
      </c>
      <c r="AC262" s="170" t="str">
        <f t="shared" ref="AC262:AC325" si="26">B262</f>
        <v/>
      </c>
      <c r="AD262" s="170" t="str">
        <f t="shared" ref="AD262:AD325" si="27">IF(C262="Smelter not listed",D262,C262)</f>
        <v/>
      </c>
    </row>
    <row r="263" spans="1:30" s="170" customFormat="1" ht="20.399999999999999">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24"/>
        <v/>
      </c>
      <c r="T263" s="155" t="str">
        <f ca="1">IF(B263="","",IF(ISERROR(MATCH($J263,SorP!$B$1:$B$6226,0)),"",INDIRECT("'SorP'!$A$"&amp;MATCH($S263&amp;$J263,SorP!C:C,0))))</f>
        <v/>
      </c>
      <c r="U263" s="168"/>
      <c r="V263" s="169" t="e">
        <f>IF(C263="",NA(),MATCH($B263&amp;$C263,'Smelter Look-up'!$J:$J,0))</f>
        <v>#N/A</v>
      </c>
      <c r="X263" s="170">
        <f t="shared" ca="1" si="23"/>
        <v>0</v>
      </c>
      <c r="AB263" s="313" t="str">
        <f t="shared" si="25"/>
        <v/>
      </c>
      <c r="AC263" s="170" t="str">
        <f t="shared" si="26"/>
        <v/>
      </c>
      <c r="AD263" s="170" t="str">
        <f t="shared" si="27"/>
        <v/>
      </c>
    </row>
    <row r="264" spans="1:30" s="170" customFormat="1" ht="20.399999999999999">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24"/>
        <v/>
      </c>
      <c r="T264" s="155" t="str">
        <f ca="1">IF(B264="","",IF(ISERROR(MATCH($J264,SorP!$B$1:$B$6226,0)),"",INDIRECT("'SorP'!$A$"&amp;MATCH($S264&amp;$J264,SorP!C:C,0))))</f>
        <v/>
      </c>
      <c r="U264" s="168"/>
      <c r="V264" s="169" t="e">
        <f>IF(C264="",NA(),MATCH($B264&amp;$C264,'Smelter Look-up'!$J:$J,0))</f>
        <v>#N/A</v>
      </c>
      <c r="X264" s="170">
        <f t="shared" ca="1" si="23"/>
        <v>0</v>
      </c>
      <c r="AB264" s="313" t="str">
        <f t="shared" si="25"/>
        <v/>
      </c>
      <c r="AC264" s="170" t="str">
        <f t="shared" si="26"/>
        <v/>
      </c>
      <c r="AD264" s="170" t="str">
        <f t="shared" si="27"/>
        <v/>
      </c>
    </row>
    <row r="265" spans="1:30" s="170" customFormat="1" ht="20.399999999999999">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24"/>
        <v/>
      </c>
      <c r="T265" s="155" t="str">
        <f ca="1">IF(B265="","",IF(ISERROR(MATCH($J265,SorP!$B$1:$B$6226,0)),"",INDIRECT("'SorP'!$A$"&amp;MATCH($S265&amp;$J265,SorP!C:C,0))))</f>
        <v/>
      </c>
      <c r="U265" s="168"/>
      <c r="V265" s="169" t="e">
        <f>IF(C265="",NA(),MATCH($B265&amp;$C265,'Smelter Look-up'!$J:$J,0))</f>
        <v>#N/A</v>
      </c>
      <c r="X265" s="170">
        <f t="shared" ca="1" si="23"/>
        <v>0</v>
      </c>
      <c r="AB265" s="313" t="str">
        <f t="shared" si="25"/>
        <v/>
      </c>
      <c r="AC265" s="170" t="str">
        <f t="shared" si="26"/>
        <v/>
      </c>
      <c r="AD265" s="170" t="str">
        <f t="shared" si="27"/>
        <v/>
      </c>
    </row>
    <row r="266" spans="1:30" s="170" customFormat="1" ht="20.399999999999999">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24"/>
        <v/>
      </c>
      <c r="T266" s="155" t="str">
        <f ca="1">IF(B266="","",IF(ISERROR(MATCH($J266,SorP!$B$1:$B$6226,0)),"",INDIRECT("'SorP'!$A$"&amp;MATCH($S266&amp;$J266,SorP!C:C,0))))</f>
        <v/>
      </c>
      <c r="U266" s="168"/>
      <c r="V266" s="169" t="e">
        <f>IF(C266="",NA(),MATCH($B266&amp;$C266,'Smelter Look-up'!$J:$J,0))</f>
        <v>#N/A</v>
      </c>
      <c r="X266" s="170">
        <f t="shared" ca="1" si="23"/>
        <v>0</v>
      </c>
      <c r="AB266" s="313" t="str">
        <f t="shared" si="25"/>
        <v/>
      </c>
      <c r="AC266" s="170" t="str">
        <f t="shared" si="26"/>
        <v/>
      </c>
      <c r="AD266" s="170" t="str">
        <f t="shared" si="27"/>
        <v/>
      </c>
    </row>
    <row r="267" spans="1:30" s="170" customFormat="1" ht="20.399999999999999">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24"/>
        <v/>
      </c>
      <c r="T267" s="155" t="str">
        <f ca="1">IF(B267="","",IF(ISERROR(MATCH($J267,SorP!$B$1:$B$6226,0)),"",INDIRECT("'SorP'!$A$"&amp;MATCH($S267&amp;$J267,SorP!C:C,0))))</f>
        <v/>
      </c>
      <c r="U267" s="168"/>
      <c r="V267" s="169" t="e">
        <f>IF(C267="",NA(),MATCH($B267&amp;$C267,'Smelter Look-up'!$J:$J,0))</f>
        <v>#N/A</v>
      </c>
      <c r="X267" s="170">
        <f t="shared" ca="1" si="23"/>
        <v>0</v>
      </c>
      <c r="AB267" s="313" t="str">
        <f t="shared" si="25"/>
        <v/>
      </c>
      <c r="AC267" s="170" t="str">
        <f t="shared" si="26"/>
        <v/>
      </c>
      <c r="AD267" s="170" t="str">
        <f t="shared" si="27"/>
        <v/>
      </c>
    </row>
    <row r="268" spans="1:30" s="170" customFormat="1" ht="20.399999999999999">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24"/>
        <v/>
      </c>
      <c r="T268" s="155" t="str">
        <f ca="1">IF(B268="","",IF(ISERROR(MATCH($J268,SorP!$B$1:$B$6226,0)),"",INDIRECT("'SorP'!$A$"&amp;MATCH($S268&amp;$J268,SorP!C:C,0))))</f>
        <v/>
      </c>
      <c r="U268" s="168"/>
      <c r="V268" s="169" t="e">
        <f>IF(C268="",NA(),MATCH($B268&amp;$C268,'Smelter Look-up'!$J:$J,0))</f>
        <v>#N/A</v>
      </c>
      <c r="X268" s="170">
        <f t="shared" ca="1" si="23"/>
        <v>0</v>
      </c>
      <c r="AB268" s="313" t="str">
        <f t="shared" si="25"/>
        <v/>
      </c>
      <c r="AC268" s="170" t="str">
        <f t="shared" si="26"/>
        <v/>
      </c>
      <c r="AD268" s="170" t="str">
        <f t="shared" si="27"/>
        <v/>
      </c>
    </row>
    <row r="269" spans="1:30" s="170" customFormat="1" ht="20.399999999999999">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24"/>
        <v/>
      </c>
      <c r="T269" s="155" t="str">
        <f ca="1">IF(B269="","",IF(ISERROR(MATCH($J269,SorP!$B$1:$B$6226,0)),"",INDIRECT("'SorP'!$A$"&amp;MATCH($S269&amp;$J269,SorP!C:C,0))))</f>
        <v/>
      </c>
      <c r="U269" s="168"/>
      <c r="V269" s="169" t="e">
        <f>IF(C269="",NA(),MATCH($B269&amp;$C269,'Smelter Look-up'!$J:$J,0))</f>
        <v>#N/A</v>
      </c>
      <c r="X269" s="170">
        <f t="shared" ca="1" si="23"/>
        <v>0</v>
      </c>
      <c r="AB269" s="313" t="str">
        <f t="shared" si="25"/>
        <v/>
      </c>
      <c r="AC269" s="170" t="str">
        <f t="shared" si="26"/>
        <v/>
      </c>
      <c r="AD269" s="170" t="str">
        <f t="shared" si="27"/>
        <v/>
      </c>
    </row>
    <row r="270" spans="1:30" s="170" customFormat="1" ht="20.399999999999999">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24"/>
        <v/>
      </c>
      <c r="T270" s="155" t="str">
        <f ca="1">IF(B270="","",IF(ISERROR(MATCH($J270,SorP!$B$1:$B$6226,0)),"",INDIRECT("'SorP'!$A$"&amp;MATCH($S270&amp;$J270,SorP!C:C,0))))</f>
        <v/>
      </c>
      <c r="U270" s="168"/>
      <c r="V270" s="169" t="e">
        <f>IF(C270="",NA(),MATCH($B270&amp;$C270,'Smelter Look-up'!$J:$J,0))</f>
        <v>#N/A</v>
      </c>
      <c r="X270" s="170">
        <f t="shared" ca="1" si="23"/>
        <v>0</v>
      </c>
      <c r="AB270" s="313" t="str">
        <f t="shared" si="25"/>
        <v/>
      </c>
      <c r="AC270" s="170" t="str">
        <f t="shared" si="26"/>
        <v/>
      </c>
      <c r="AD270" s="170" t="str">
        <f t="shared" si="27"/>
        <v/>
      </c>
    </row>
    <row r="271" spans="1:30" s="170" customFormat="1" ht="20.399999999999999">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24"/>
        <v/>
      </c>
      <c r="T271" s="155" t="str">
        <f ca="1">IF(B271="","",IF(ISERROR(MATCH($J271,SorP!$B$1:$B$6226,0)),"",INDIRECT("'SorP'!$A$"&amp;MATCH($S271&amp;$J271,SorP!C:C,0))))</f>
        <v/>
      </c>
      <c r="U271" s="168"/>
      <c r="V271" s="169" t="e">
        <f>IF(C271="",NA(),MATCH($B271&amp;$C271,'Smelter Look-up'!$J:$J,0))</f>
        <v>#N/A</v>
      </c>
      <c r="X271" s="170">
        <f t="shared" ca="1" si="23"/>
        <v>0</v>
      </c>
      <c r="AB271" s="313" t="str">
        <f t="shared" si="25"/>
        <v/>
      </c>
      <c r="AC271" s="170" t="str">
        <f t="shared" si="26"/>
        <v/>
      </c>
      <c r="AD271" s="170" t="str">
        <f t="shared" si="27"/>
        <v/>
      </c>
    </row>
    <row r="272" spans="1:30" s="170" customFormat="1" ht="20.399999999999999">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24"/>
        <v/>
      </c>
      <c r="T272" s="155" t="str">
        <f ca="1">IF(B272="","",IF(ISERROR(MATCH($J272,SorP!$B$1:$B$6226,0)),"",INDIRECT("'SorP'!$A$"&amp;MATCH($S272&amp;$J272,SorP!C:C,0))))</f>
        <v/>
      </c>
      <c r="U272" s="168"/>
      <c r="V272" s="169" t="e">
        <f>IF(C272="",NA(),MATCH($B272&amp;$C272,'Smelter Look-up'!$J:$J,0))</f>
        <v>#N/A</v>
      </c>
      <c r="X272" s="170">
        <f t="shared" ca="1" si="23"/>
        <v>0</v>
      </c>
      <c r="AB272" s="313" t="str">
        <f t="shared" si="25"/>
        <v/>
      </c>
      <c r="AC272" s="170" t="str">
        <f t="shared" si="26"/>
        <v/>
      </c>
      <c r="AD272" s="170" t="str">
        <f t="shared" si="27"/>
        <v/>
      </c>
    </row>
    <row r="273" spans="1:30" s="170" customFormat="1" ht="20.399999999999999">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24"/>
        <v/>
      </c>
      <c r="T273" s="155" t="str">
        <f ca="1">IF(B273="","",IF(ISERROR(MATCH($J273,SorP!$B$1:$B$6226,0)),"",INDIRECT("'SorP'!$A$"&amp;MATCH($S273&amp;$J273,SorP!C:C,0))))</f>
        <v/>
      </c>
      <c r="U273" s="168"/>
      <c r="V273" s="169" t="e">
        <f>IF(C273="",NA(),MATCH($B273&amp;$C273,'Smelter Look-up'!$J:$J,0))</f>
        <v>#N/A</v>
      </c>
      <c r="X273" s="170">
        <f t="shared" ca="1" si="23"/>
        <v>0</v>
      </c>
      <c r="AB273" s="313" t="str">
        <f t="shared" si="25"/>
        <v/>
      </c>
      <c r="AC273" s="170" t="str">
        <f t="shared" si="26"/>
        <v/>
      </c>
      <c r="AD273" s="170" t="str">
        <f t="shared" si="27"/>
        <v/>
      </c>
    </row>
    <row r="274" spans="1:30" s="170" customFormat="1" ht="20.399999999999999">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24"/>
        <v/>
      </c>
      <c r="T274" s="155" t="str">
        <f ca="1">IF(B274="","",IF(ISERROR(MATCH($J274,SorP!$B$1:$B$6226,0)),"",INDIRECT("'SorP'!$A$"&amp;MATCH($S274&amp;$J274,SorP!C:C,0))))</f>
        <v/>
      </c>
      <c r="U274" s="168"/>
      <c r="V274" s="169" t="e">
        <f>IF(C274="",NA(),MATCH($B274&amp;$C274,'Smelter Look-up'!$J:$J,0))</f>
        <v>#N/A</v>
      </c>
      <c r="X274" s="170">
        <f t="shared" ca="1" si="23"/>
        <v>0</v>
      </c>
      <c r="AB274" s="313" t="str">
        <f t="shared" si="25"/>
        <v/>
      </c>
      <c r="AC274" s="170" t="str">
        <f t="shared" si="26"/>
        <v/>
      </c>
      <c r="AD274" s="170" t="str">
        <f t="shared" si="27"/>
        <v/>
      </c>
    </row>
    <row r="275" spans="1:30" s="170" customFormat="1" ht="20.399999999999999">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24"/>
        <v/>
      </c>
      <c r="T275" s="155" t="str">
        <f ca="1">IF(B275="","",IF(ISERROR(MATCH($J275,SorP!$B$1:$B$6226,0)),"",INDIRECT("'SorP'!$A$"&amp;MATCH($S275&amp;$J275,SorP!C:C,0))))</f>
        <v/>
      </c>
      <c r="U275" s="168"/>
      <c r="V275" s="169" t="e">
        <f>IF(C275="",NA(),MATCH($B275&amp;$C275,'Smelter Look-up'!$J:$J,0))</f>
        <v>#N/A</v>
      </c>
      <c r="X275" s="170">
        <f t="shared" ca="1" si="23"/>
        <v>0</v>
      </c>
      <c r="AB275" s="313" t="str">
        <f t="shared" si="25"/>
        <v/>
      </c>
      <c r="AC275" s="170" t="str">
        <f t="shared" si="26"/>
        <v/>
      </c>
      <c r="AD275" s="170" t="str">
        <f t="shared" si="27"/>
        <v/>
      </c>
    </row>
    <row r="276" spans="1:30" s="170" customFormat="1" ht="20.399999999999999">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24"/>
        <v/>
      </c>
      <c r="T276" s="155" t="str">
        <f ca="1">IF(B276="","",IF(ISERROR(MATCH($J276,SorP!$B$1:$B$6226,0)),"",INDIRECT("'SorP'!$A$"&amp;MATCH($S276&amp;$J276,SorP!C:C,0))))</f>
        <v/>
      </c>
      <c r="U276" s="168"/>
      <c r="V276" s="169" t="e">
        <f>IF(C276="",NA(),MATCH($B276&amp;$C276,'Smelter Look-up'!$J:$J,0))</f>
        <v>#N/A</v>
      </c>
      <c r="X276" s="170">
        <f t="shared" ca="1" si="23"/>
        <v>0</v>
      </c>
      <c r="AB276" s="313" t="str">
        <f t="shared" si="25"/>
        <v/>
      </c>
      <c r="AC276" s="170" t="str">
        <f t="shared" si="26"/>
        <v/>
      </c>
      <c r="AD276" s="170" t="str">
        <f t="shared" si="27"/>
        <v/>
      </c>
    </row>
    <row r="277" spans="1:30" s="170" customFormat="1" ht="20.399999999999999">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24"/>
        <v/>
      </c>
      <c r="T277" s="155" t="str">
        <f ca="1">IF(B277="","",IF(ISERROR(MATCH($J277,SorP!$B$1:$B$6226,0)),"",INDIRECT("'SorP'!$A$"&amp;MATCH($S277&amp;$J277,SorP!C:C,0))))</f>
        <v/>
      </c>
      <c r="U277" s="168"/>
      <c r="V277" s="169" t="e">
        <f>IF(C277="",NA(),MATCH($B277&amp;$C277,'Smelter Look-up'!$J:$J,0))</f>
        <v>#N/A</v>
      </c>
      <c r="X277" s="170">
        <f t="shared" ca="1" si="23"/>
        <v>0</v>
      </c>
      <c r="AB277" s="313" t="str">
        <f t="shared" si="25"/>
        <v/>
      </c>
      <c r="AC277" s="170" t="str">
        <f t="shared" si="26"/>
        <v/>
      </c>
      <c r="AD277" s="170" t="str">
        <f t="shared" si="27"/>
        <v/>
      </c>
    </row>
    <row r="278" spans="1:30" s="170" customFormat="1" ht="20.399999999999999">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24"/>
        <v/>
      </c>
      <c r="T278" s="155" t="str">
        <f ca="1">IF(B278="","",IF(ISERROR(MATCH($J278,SorP!$B$1:$B$6226,0)),"",INDIRECT("'SorP'!$A$"&amp;MATCH($S278&amp;$J278,SorP!C:C,0))))</f>
        <v/>
      </c>
      <c r="U278" s="168"/>
      <c r="V278" s="169" t="e">
        <f>IF(C278="",NA(),MATCH($B278&amp;$C278,'Smelter Look-up'!$J:$J,0))</f>
        <v>#N/A</v>
      </c>
      <c r="X278" s="170">
        <f t="shared" ca="1" si="23"/>
        <v>0</v>
      </c>
      <c r="AB278" s="313" t="str">
        <f t="shared" si="25"/>
        <v/>
      </c>
      <c r="AC278" s="170" t="str">
        <f t="shared" si="26"/>
        <v/>
      </c>
      <c r="AD278" s="170" t="str">
        <f t="shared" si="27"/>
        <v/>
      </c>
    </row>
    <row r="279" spans="1:30" s="170" customFormat="1" ht="20.399999999999999">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24"/>
        <v/>
      </c>
      <c r="T279" s="155" t="str">
        <f ca="1">IF(B279="","",IF(ISERROR(MATCH($J279,SorP!$B$1:$B$6226,0)),"",INDIRECT("'SorP'!$A$"&amp;MATCH($S279&amp;$J279,SorP!C:C,0))))</f>
        <v/>
      </c>
      <c r="U279" s="168"/>
      <c r="V279" s="169" t="e">
        <f>IF(C279="",NA(),MATCH($B279&amp;$C279,'Smelter Look-up'!$J:$J,0))</f>
        <v>#N/A</v>
      </c>
      <c r="X279" s="170">
        <f t="shared" ca="1" si="23"/>
        <v>0</v>
      </c>
      <c r="AB279" s="313" t="str">
        <f t="shared" si="25"/>
        <v/>
      </c>
      <c r="AC279" s="170" t="str">
        <f t="shared" si="26"/>
        <v/>
      </c>
      <c r="AD279" s="170" t="str">
        <f t="shared" si="27"/>
        <v/>
      </c>
    </row>
    <row r="280" spans="1:30" s="170" customFormat="1" ht="20.399999999999999">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24"/>
        <v/>
      </c>
      <c r="T280" s="155" t="str">
        <f ca="1">IF(B280="","",IF(ISERROR(MATCH($J280,SorP!$B$1:$B$6226,0)),"",INDIRECT("'SorP'!$A$"&amp;MATCH($S280&amp;$J280,SorP!C:C,0))))</f>
        <v/>
      </c>
      <c r="U280" s="168"/>
      <c r="V280" s="169" t="e">
        <f>IF(C280="",NA(),MATCH($B280&amp;$C280,'Smelter Look-up'!$J:$J,0))</f>
        <v>#N/A</v>
      </c>
      <c r="X280" s="170">
        <f t="shared" ca="1" si="23"/>
        <v>0</v>
      </c>
      <c r="AB280" s="313" t="str">
        <f t="shared" si="25"/>
        <v/>
      </c>
      <c r="AC280" s="170" t="str">
        <f t="shared" si="26"/>
        <v/>
      </c>
      <c r="AD280" s="170" t="str">
        <f t="shared" si="27"/>
        <v/>
      </c>
    </row>
    <row r="281" spans="1:30" s="170" customFormat="1" ht="20.399999999999999">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24"/>
        <v/>
      </c>
      <c r="T281" s="155" t="str">
        <f ca="1">IF(B281="","",IF(ISERROR(MATCH($J281,SorP!$B$1:$B$6226,0)),"",INDIRECT("'SorP'!$A$"&amp;MATCH($S281&amp;$J281,SorP!C:C,0))))</f>
        <v/>
      </c>
      <c r="U281" s="168"/>
      <c r="V281" s="169" t="e">
        <f>IF(C281="",NA(),MATCH($B281&amp;$C281,'Smelter Look-up'!$J:$J,0))</f>
        <v>#N/A</v>
      </c>
      <c r="X281" s="170">
        <f t="shared" ca="1" si="23"/>
        <v>0</v>
      </c>
      <c r="AB281" s="313" t="str">
        <f t="shared" si="25"/>
        <v/>
      </c>
      <c r="AC281" s="170" t="str">
        <f t="shared" si="26"/>
        <v/>
      </c>
      <c r="AD281" s="170" t="str">
        <f t="shared" si="27"/>
        <v/>
      </c>
    </row>
    <row r="282" spans="1:30" s="170" customFormat="1" ht="20.399999999999999">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24"/>
        <v/>
      </c>
      <c r="T282" s="155" t="str">
        <f ca="1">IF(B282="","",IF(ISERROR(MATCH($J282,SorP!$B$1:$B$6226,0)),"",INDIRECT("'SorP'!$A$"&amp;MATCH($S282&amp;$J282,SorP!C:C,0))))</f>
        <v/>
      </c>
      <c r="U282" s="168"/>
      <c r="V282" s="169" t="e">
        <f>IF(C282="",NA(),MATCH($B282&amp;$C282,'Smelter Look-up'!$J:$J,0))</f>
        <v>#N/A</v>
      </c>
      <c r="X282" s="170">
        <f t="shared" ca="1" si="23"/>
        <v>0</v>
      </c>
      <c r="AB282" s="313" t="str">
        <f t="shared" si="25"/>
        <v/>
      </c>
      <c r="AC282" s="170" t="str">
        <f t="shared" si="26"/>
        <v/>
      </c>
      <c r="AD282" s="170" t="str">
        <f t="shared" si="27"/>
        <v/>
      </c>
    </row>
    <row r="283" spans="1:30" s="170" customFormat="1" ht="20.399999999999999">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24"/>
        <v/>
      </c>
      <c r="T283" s="155" t="str">
        <f ca="1">IF(B283="","",IF(ISERROR(MATCH($J283,SorP!$B$1:$B$6226,0)),"",INDIRECT("'SorP'!$A$"&amp;MATCH($S283&amp;$J283,SorP!C:C,0))))</f>
        <v/>
      </c>
      <c r="U283" s="168"/>
      <c r="V283" s="169" t="e">
        <f>IF(C283="",NA(),MATCH($B283&amp;$C283,'Smelter Look-up'!$J:$J,0))</f>
        <v>#N/A</v>
      </c>
      <c r="X283" s="170">
        <f t="shared" ca="1" si="23"/>
        <v>0</v>
      </c>
      <c r="AB283" s="313" t="str">
        <f t="shared" si="25"/>
        <v/>
      </c>
      <c r="AC283" s="170" t="str">
        <f t="shared" si="26"/>
        <v/>
      </c>
      <c r="AD283" s="170" t="str">
        <f t="shared" si="27"/>
        <v/>
      </c>
    </row>
    <row r="284" spans="1:30" s="170" customFormat="1" ht="20.399999999999999">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24"/>
        <v/>
      </c>
      <c r="T284" s="155" t="str">
        <f ca="1">IF(B284="","",IF(ISERROR(MATCH($J284,SorP!$B$1:$B$6226,0)),"",INDIRECT("'SorP'!$A$"&amp;MATCH($S284&amp;$J284,SorP!C:C,0))))</f>
        <v/>
      </c>
      <c r="U284" s="168"/>
      <c r="V284" s="169" t="e">
        <f>IF(C284="",NA(),MATCH($B284&amp;$C284,'Smelter Look-up'!$J:$J,0))</f>
        <v>#N/A</v>
      </c>
      <c r="X284" s="170">
        <f t="shared" ca="1" si="23"/>
        <v>0</v>
      </c>
      <c r="AB284" s="313" t="str">
        <f t="shared" si="25"/>
        <v/>
      </c>
      <c r="AC284" s="170" t="str">
        <f t="shared" si="26"/>
        <v/>
      </c>
      <c r="AD284" s="170" t="str">
        <f t="shared" si="27"/>
        <v/>
      </c>
    </row>
    <row r="285" spans="1:30" s="170" customFormat="1" ht="20.399999999999999">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24"/>
        <v/>
      </c>
      <c r="T285" s="155" t="str">
        <f ca="1">IF(B285="","",IF(ISERROR(MATCH($J285,SorP!$B$1:$B$6226,0)),"",INDIRECT("'SorP'!$A$"&amp;MATCH($S285&amp;$J285,SorP!C:C,0))))</f>
        <v/>
      </c>
      <c r="U285" s="168"/>
      <c r="V285" s="169" t="e">
        <f>IF(C285="",NA(),MATCH($B285&amp;$C285,'Smelter Look-up'!$J:$J,0))</f>
        <v>#N/A</v>
      </c>
      <c r="X285" s="170">
        <f t="shared" ca="1" si="23"/>
        <v>0</v>
      </c>
      <c r="AB285" s="313" t="str">
        <f t="shared" si="25"/>
        <v/>
      </c>
      <c r="AC285" s="170" t="str">
        <f t="shared" si="26"/>
        <v/>
      </c>
      <c r="AD285" s="170" t="str">
        <f t="shared" si="27"/>
        <v/>
      </c>
    </row>
    <row r="286" spans="1:30" s="170" customFormat="1" ht="20.399999999999999">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24"/>
        <v/>
      </c>
      <c r="T286" s="155" t="str">
        <f ca="1">IF(B286="","",IF(ISERROR(MATCH($J286,SorP!$B$1:$B$6226,0)),"",INDIRECT("'SorP'!$A$"&amp;MATCH($S286&amp;$J286,SorP!C:C,0))))</f>
        <v/>
      </c>
      <c r="U286" s="168"/>
      <c r="V286" s="169" t="e">
        <f>IF(C286="",NA(),MATCH($B286&amp;$C286,'Smelter Look-up'!$J:$J,0))</f>
        <v>#N/A</v>
      </c>
      <c r="X286" s="170">
        <f t="shared" ca="1" si="23"/>
        <v>0</v>
      </c>
      <c r="AB286" s="313" t="str">
        <f t="shared" si="25"/>
        <v/>
      </c>
      <c r="AC286" s="170" t="str">
        <f t="shared" si="26"/>
        <v/>
      </c>
      <c r="AD286" s="170" t="str">
        <f t="shared" si="27"/>
        <v/>
      </c>
    </row>
    <row r="287" spans="1:30" s="170" customFormat="1" ht="20.399999999999999">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24"/>
        <v/>
      </c>
      <c r="T287" s="155" t="str">
        <f ca="1">IF(B287="","",IF(ISERROR(MATCH($J287,SorP!$B$1:$B$6226,0)),"",INDIRECT("'SorP'!$A$"&amp;MATCH($S287&amp;$J287,SorP!C:C,0))))</f>
        <v/>
      </c>
      <c r="U287" s="168"/>
      <c r="V287" s="169" t="e">
        <f>IF(C287="",NA(),MATCH($B287&amp;$C287,'Smelter Look-up'!$J:$J,0))</f>
        <v>#N/A</v>
      </c>
      <c r="X287" s="170">
        <f t="shared" ca="1" si="23"/>
        <v>0</v>
      </c>
      <c r="AB287" s="313" t="str">
        <f t="shared" si="25"/>
        <v/>
      </c>
      <c r="AC287" s="170" t="str">
        <f t="shared" si="26"/>
        <v/>
      </c>
      <c r="AD287" s="170" t="str">
        <f t="shared" si="27"/>
        <v/>
      </c>
    </row>
    <row r="288" spans="1:30" s="170" customFormat="1" ht="20.399999999999999">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24"/>
        <v/>
      </c>
      <c r="T288" s="155" t="str">
        <f ca="1">IF(B288="","",IF(ISERROR(MATCH($J288,SorP!$B$1:$B$6226,0)),"",INDIRECT("'SorP'!$A$"&amp;MATCH($S288&amp;$J288,SorP!C:C,0))))</f>
        <v/>
      </c>
      <c r="U288" s="168"/>
      <c r="V288" s="169" t="e">
        <f>IF(C288="",NA(),MATCH($B288&amp;$C288,'Smelter Look-up'!$J:$J,0))</f>
        <v>#N/A</v>
      </c>
      <c r="X288" s="170">
        <f t="shared" ca="1" si="23"/>
        <v>0</v>
      </c>
      <c r="AB288" s="313" t="str">
        <f t="shared" si="25"/>
        <v/>
      </c>
      <c r="AC288" s="170" t="str">
        <f t="shared" si="26"/>
        <v/>
      </c>
      <c r="AD288" s="170" t="str">
        <f t="shared" si="27"/>
        <v/>
      </c>
    </row>
    <row r="289" spans="1:30" s="170" customFormat="1" ht="20.399999999999999">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24"/>
        <v/>
      </c>
      <c r="T289" s="155" t="str">
        <f ca="1">IF(B289="","",IF(ISERROR(MATCH($J289,SorP!$B$1:$B$6226,0)),"",INDIRECT("'SorP'!$A$"&amp;MATCH($S289&amp;$J289,SorP!C:C,0))))</f>
        <v/>
      </c>
      <c r="U289" s="168"/>
      <c r="V289" s="169" t="e">
        <f>IF(C289="",NA(),MATCH($B289&amp;$C289,'Smelter Look-up'!$J:$J,0))</f>
        <v>#N/A</v>
      </c>
      <c r="X289" s="170">
        <f t="shared" ca="1" si="23"/>
        <v>0</v>
      </c>
      <c r="AB289" s="313" t="str">
        <f t="shared" si="25"/>
        <v/>
      </c>
      <c r="AC289" s="170" t="str">
        <f t="shared" si="26"/>
        <v/>
      </c>
      <c r="AD289" s="170" t="str">
        <f t="shared" si="27"/>
        <v/>
      </c>
    </row>
    <row r="290" spans="1:30" s="170" customFormat="1" ht="20.399999999999999">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24"/>
        <v/>
      </c>
      <c r="T290" s="155" t="str">
        <f ca="1">IF(B290="","",IF(ISERROR(MATCH($J290,SorP!$B$1:$B$6226,0)),"",INDIRECT("'SorP'!$A$"&amp;MATCH($S290&amp;$J290,SorP!C:C,0))))</f>
        <v/>
      </c>
      <c r="U290" s="168"/>
      <c r="V290" s="169" t="e">
        <f>IF(C290="",NA(),MATCH($B290&amp;$C290,'Smelter Look-up'!$J:$J,0))</f>
        <v>#N/A</v>
      </c>
      <c r="X290" s="170">
        <f t="shared" ca="1" si="23"/>
        <v>0</v>
      </c>
      <c r="AB290" s="313" t="str">
        <f t="shared" si="25"/>
        <v/>
      </c>
      <c r="AC290" s="170" t="str">
        <f t="shared" si="26"/>
        <v/>
      </c>
      <c r="AD290" s="170" t="str">
        <f t="shared" si="27"/>
        <v/>
      </c>
    </row>
    <row r="291" spans="1:30" s="170" customFormat="1" ht="20.399999999999999">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24"/>
        <v/>
      </c>
      <c r="T291" s="155" t="str">
        <f ca="1">IF(B291="","",IF(ISERROR(MATCH($J291,SorP!$B$1:$B$6226,0)),"",INDIRECT("'SorP'!$A$"&amp;MATCH($S291&amp;$J291,SorP!C:C,0))))</f>
        <v/>
      </c>
      <c r="U291" s="168"/>
      <c r="V291" s="169" t="e">
        <f>IF(C291="",NA(),MATCH($B291&amp;$C291,'Smelter Look-up'!$J:$J,0))</f>
        <v>#N/A</v>
      </c>
      <c r="X291" s="170">
        <f t="shared" ca="1" si="23"/>
        <v>0</v>
      </c>
      <c r="AB291" s="313" t="str">
        <f t="shared" si="25"/>
        <v/>
      </c>
      <c r="AC291" s="170" t="str">
        <f t="shared" si="26"/>
        <v/>
      </c>
      <c r="AD291" s="170" t="str">
        <f t="shared" si="27"/>
        <v/>
      </c>
    </row>
    <row r="292" spans="1:30" s="170" customFormat="1" ht="20.399999999999999">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24"/>
        <v/>
      </c>
      <c r="T292" s="155" t="str">
        <f ca="1">IF(B292="","",IF(ISERROR(MATCH($J292,SorP!$B$1:$B$6226,0)),"",INDIRECT("'SorP'!$A$"&amp;MATCH($S292&amp;$J292,SorP!C:C,0))))</f>
        <v/>
      </c>
      <c r="U292" s="168"/>
      <c r="V292" s="169" t="e">
        <f>IF(C292="",NA(),MATCH($B292&amp;$C292,'Smelter Look-up'!$J:$J,0))</f>
        <v>#N/A</v>
      </c>
      <c r="X292" s="170">
        <f t="shared" ca="1" si="23"/>
        <v>0</v>
      </c>
      <c r="AB292" s="313" t="str">
        <f t="shared" si="25"/>
        <v/>
      </c>
      <c r="AC292" s="170" t="str">
        <f t="shared" si="26"/>
        <v/>
      </c>
      <c r="AD292" s="170" t="str">
        <f t="shared" si="27"/>
        <v/>
      </c>
    </row>
    <row r="293" spans="1:30" s="170" customFormat="1" ht="20.399999999999999">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24"/>
        <v/>
      </c>
      <c r="T293" s="155" t="str">
        <f ca="1">IF(B293="","",IF(ISERROR(MATCH($J293,SorP!$B$1:$B$6226,0)),"",INDIRECT("'SorP'!$A$"&amp;MATCH($S293&amp;$J293,SorP!C:C,0))))</f>
        <v/>
      </c>
      <c r="U293" s="168"/>
      <c r="V293" s="169" t="e">
        <f>IF(C293="",NA(),MATCH($B293&amp;$C293,'Smelter Look-up'!$J:$J,0))</f>
        <v>#N/A</v>
      </c>
      <c r="X293" s="170">
        <f t="shared" ca="1" si="23"/>
        <v>0</v>
      </c>
      <c r="AB293" s="313" t="str">
        <f t="shared" si="25"/>
        <v/>
      </c>
      <c r="AC293" s="170" t="str">
        <f t="shared" si="26"/>
        <v/>
      </c>
      <c r="AD293" s="170" t="str">
        <f t="shared" si="27"/>
        <v/>
      </c>
    </row>
    <row r="294" spans="1:30" s="170" customFormat="1" ht="20.399999999999999">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24"/>
        <v/>
      </c>
      <c r="T294" s="155" t="str">
        <f ca="1">IF(B294="","",IF(ISERROR(MATCH($J294,SorP!$B$1:$B$6226,0)),"",INDIRECT("'SorP'!$A$"&amp;MATCH($S294&amp;$J294,SorP!C:C,0))))</f>
        <v/>
      </c>
      <c r="U294" s="168"/>
      <c r="V294" s="169" t="e">
        <f>IF(C294="",NA(),MATCH($B294&amp;$C294,'Smelter Look-up'!$J:$J,0))</f>
        <v>#N/A</v>
      </c>
      <c r="X294" s="170">
        <f t="shared" ca="1" si="23"/>
        <v>0</v>
      </c>
      <c r="AB294" s="313" t="str">
        <f t="shared" si="25"/>
        <v/>
      </c>
      <c r="AC294" s="170" t="str">
        <f t="shared" si="26"/>
        <v/>
      </c>
      <c r="AD294" s="170" t="str">
        <f t="shared" si="27"/>
        <v/>
      </c>
    </row>
    <row r="295" spans="1:30" s="170" customFormat="1" ht="20.399999999999999">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24"/>
        <v/>
      </c>
      <c r="T295" s="155" t="str">
        <f ca="1">IF(B295="","",IF(ISERROR(MATCH($J295,SorP!$B$1:$B$6226,0)),"",INDIRECT("'SorP'!$A$"&amp;MATCH($S295&amp;$J295,SorP!C:C,0))))</f>
        <v/>
      </c>
      <c r="U295" s="168"/>
      <c r="V295" s="169" t="e">
        <f>IF(C295="",NA(),MATCH($B295&amp;$C295,'Smelter Look-up'!$J:$J,0))</f>
        <v>#N/A</v>
      </c>
      <c r="X295" s="170">
        <f t="shared" ca="1" si="23"/>
        <v>0</v>
      </c>
      <c r="AB295" s="313" t="str">
        <f t="shared" si="25"/>
        <v/>
      </c>
      <c r="AC295" s="170" t="str">
        <f t="shared" si="26"/>
        <v/>
      </c>
      <c r="AD295" s="170" t="str">
        <f t="shared" si="27"/>
        <v/>
      </c>
    </row>
    <row r="296" spans="1:30" s="170" customFormat="1" ht="20.399999999999999">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24"/>
        <v/>
      </c>
      <c r="T296" s="155" t="str">
        <f ca="1">IF(B296="","",IF(ISERROR(MATCH($J296,SorP!$B$1:$B$6226,0)),"",INDIRECT("'SorP'!$A$"&amp;MATCH($S296&amp;$J296,SorP!C:C,0))))</f>
        <v/>
      </c>
      <c r="U296" s="168"/>
      <c r="V296" s="169" t="e">
        <f>IF(C296="",NA(),MATCH($B296&amp;$C296,'Smelter Look-up'!$J:$J,0))</f>
        <v>#N/A</v>
      </c>
      <c r="X296" s="170">
        <f t="shared" ca="1" si="23"/>
        <v>0</v>
      </c>
      <c r="AB296" s="313" t="str">
        <f t="shared" si="25"/>
        <v/>
      </c>
      <c r="AC296" s="170" t="str">
        <f t="shared" si="26"/>
        <v/>
      </c>
      <c r="AD296" s="170" t="str">
        <f t="shared" si="27"/>
        <v/>
      </c>
    </row>
    <row r="297" spans="1:30" s="170" customFormat="1" ht="20.399999999999999">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24"/>
        <v/>
      </c>
      <c r="T297" s="155" t="str">
        <f ca="1">IF(B297="","",IF(ISERROR(MATCH($J297,SorP!$B$1:$B$6226,0)),"",INDIRECT("'SorP'!$A$"&amp;MATCH($S297&amp;$J297,SorP!C:C,0))))</f>
        <v/>
      </c>
      <c r="U297" s="168"/>
      <c r="V297" s="169" t="e">
        <f>IF(C297="",NA(),MATCH($B297&amp;$C297,'Smelter Look-up'!$J:$J,0))</f>
        <v>#N/A</v>
      </c>
      <c r="X297" s="170">
        <f t="shared" ca="1" si="23"/>
        <v>0</v>
      </c>
      <c r="AB297" s="313" t="str">
        <f t="shared" si="25"/>
        <v/>
      </c>
      <c r="AC297" s="170" t="str">
        <f t="shared" si="26"/>
        <v/>
      </c>
      <c r="AD297" s="170" t="str">
        <f t="shared" si="27"/>
        <v/>
      </c>
    </row>
    <row r="298" spans="1:30" s="170" customFormat="1" ht="20.399999999999999">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24"/>
        <v/>
      </c>
      <c r="T298" s="155" t="str">
        <f ca="1">IF(B298="","",IF(ISERROR(MATCH($J298,SorP!$B$1:$B$6226,0)),"",INDIRECT("'SorP'!$A$"&amp;MATCH($S298&amp;$J298,SorP!C:C,0))))</f>
        <v/>
      </c>
      <c r="U298" s="168"/>
      <c r="V298" s="169" t="e">
        <f>IF(C298="",NA(),MATCH($B298&amp;$C298,'Smelter Look-up'!$J:$J,0))</f>
        <v>#N/A</v>
      </c>
      <c r="X298" s="170">
        <f t="shared" ca="1" si="23"/>
        <v>0</v>
      </c>
      <c r="AB298" s="313" t="str">
        <f t="shared" si="25"/>
        <v/>
      </c>
      <c r="AC298" s="170" t="str">
        <f t="shared" si="26"/>
        <v/>
      </c>
      <c r="AD298" s="170" t="str">
        <f t="shared" si="27"/>
        <v/>
      </c>
    </row>
    <row r="299" spans="1:30" s="170" customFormat="1" ht="20.399999999999999">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24"/>
        <v/>
      </c>
      <c r="T299" s="155" t="str">
        <f ca="1">IF(B299="","",IF(ISERROR(MATCH($J299,SorP!$B$1:$B$6226,0)),"",INDIRECT("'SorP'!$A$"&amp;MATCH($S299&amp;$J299,SorP!C:C,0))))</f>
        <v/>
      </c>
      <c r="U299" s="168"/>
      <c r="V299" s="169" t="e">
        <f>IF(C299="",NA(),MATCH($B299&amp;$C299,'Smelter Look-up'!$J:$J,0))</f>
        <v>#N/A</v>
      </c>
      <c r="X299" s="170">
        <f t="shared" ca="1" si="23"/>
        <v>0</v>
      </c>
      <c r="AB299" s="313" t="str">
        <f t="shared" si="25"/>
        <v/>
      </c>
      <c r="AC299" s="170" t="str">
        <f t="shared" si="26"/>
        <v/>
      </c>
      <c r="AD299" s="170" t="str">
        <f t="shared" si="27"/>
        <v/>
      </c>
    </row>
    <row r="300" spans="1:30" s="170" customFormat="1" ht="20.399999999999999">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24"/>
        <v/>
      </c>
      <c r="T300" s="155" t="str">
        <f ca="1">IF(B300="","",IF(ISERROR(MATCH($J300,SorP!$B$1:$B$6226,0)),"",INDIRECT("'SorP'!$A$"&amp;MATCH($S300&amp;$J300,SorP!C:C,0))))</f>
        <v/>
      </c>
      <c r="U300" s="168"/>
      <c r="V300" s="169" t="e">
        <f>IF(C300="",NA(),MATCH($B300&amp;$C300,'Smelter Look-up'!$J:$J,0))</f>
        <v>#N/A</v>
      </c>
      <c r="X300" s="170">
        <f t="shared" ca="1" si="23"/>
        <v>0</v>
      </c>
      <c r="AB300" s="313" t="str">
        <f t="shared" si="25"/>
        <v/>
      </c>
      <c r="AC300" s="170" t="str">
        <f t="shared" si="26"/>
        <v/>
      </c>
      <c r="AD300" s="170" t="str">
        <f t="shared" si="27"/>
        <v/>
      </c>
    </row>
    <row r="301" spans="1:30" s="170" customFormat="1" ht="20.399999999999999">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24"/>
        <v/>
      </c>
      <c r="T301" s="155" t="str">
        <f ca="1">IF(B301="","",IF(ISERROR(MATCH($J301,SorP!$B$1:$B$6226,0)),"",INDIRECT("'SorP'!$A$"&amp;MATCH($S301&amp;$J301,SorP!C:C,0))))</f>
        <v/>
      </c>
      <c r="U301" s="168"/>
      <c r="V301" s="169" t="e">
        <f>IF(C301="",NA(),MATCH($B301&amp;$C301,'Smelter Look-up'!$J:$J,0))</f>
        <v>#N/A</v>
      </c>
      <c r="X301" s="170">
        <f t="shared" ca="1" si="23"/>
        <v>0</v>
      </c>
      <c r="AB301" s="313" t="str">
        <f t="shared" si="25"/>
        <v/>
      </c>
      <c r="AC301" s="170" t="str">
        <f t="shared" si="26"/>
        <v/>
      </c>
      <c r="AD301" s="170" t="str">
        <f t="shared" si="27"/>
        <v/>
      </c>
    </row>
    <row r="302" spans="1:30" s="170" customFormat="1" ht="20.399999999999999">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24"/>
        <v/>
      </c>
      <c r="T302" s="155" t="str">
        <f ca="1">IF(B302="","",IF(ISERROR(MATCH($J302,SorP!$B$1:$B$6226,0)),"",INDIRECT("'SorP'!$A$"&amp;MATCH($S302&amp;$J302,SorP!C:C,0))))</f>
        <v/>
      </c>
      <c r="U302" s="168"/>
      <c r="V302" s="169" t="e">
        <f>IF(C302="",NA(),MATCH($B302&amp;$C302,'Smelter Look-up'!$J:$J,0))</f>
        <v>#N/A</v>
      </c>
      <c r="X302" s="170">
        <f t="shared" ca="1" si="23"/>
        <v>0</v>
      </c>
      <c r="AB302" s="313" t="str">
        <f t="shared" si="25"/>
        <v/>
      </c>
      <c r="AC302" s="170" t="str">
        <f t="shared" si="26"/>
        <v/>
      </c>
      <c r="AD302" s="170" t="str">
        <f t="shared" si="27"/>
        <v/>
      </c>
    </row>
    <row r="303" spans="1:30" s="170" customFormat="1" ht="20.399999999999999">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24"/>
        <v/>
      </c>
      <c r="T303" s="155" t="str">
        <f ca="1">IF(B303="","",IF(ISERROR(MATCH($J303,SorP!$B$1:$B$6226,0)),"",INDIRECT("'SorP'!$A$"&amp;MATCH($S303&amp;$J303,SorP!C:C,0))))</f>
        <v/>
      </c>
      <c r="U303" s="168"/>
      <c r="V303" s="169" t="e">
        <f>IF(C303="",NA(),MATCH($B303&amp;$C303,'Smelter Look-up'!$J:$J,0))</f>
        <v>#N/A</v>
      </c>
      <c r="X303" s="170">
        <f t="shared" ca="1" si="23"/>
        <v>0</v>
      </c>
      <c r="AB303" s="313" t="str">
        <f t="shared" si="25"/>
        <v/>
      </c>
      <c r="AC303" s="170" t="str">
        <f t="shared" si="26"/>
        <v/>
      </c>
      <c r="AD303" s="170" t="str">
        <f t="shared" si="27"/>
        <v/>
      </c>
    </row>
    <row r="304" spans="1:30" s="170" customFormat="1" ht="20.399999999999999">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24"/>
        <v/>
      </c>
      <c r="T304" s="155" t="str">
        <f ca="1">IF(B304="","",IF(ISERROR(MATCH($J304,SorP!$B$1:$B$6226,0)),"",INDIRECT("'SorP'!$A$"&amp;MATCH($S304&amp;$J304,SorP!C:C,0))))</f>
        <v/>
      </c>
      <c r="U304" s="168"/>
      <c r="V304" s="169" t="e">
        <f>IF(C304="",NA(),MATCH($B304&amp;$C304,'Smelter Look-up'!$J:$J,0))</f>
        <v>#N/A</v>
      </c>
      <c r="X304" s="170">
        <f t="shared" ca="1" si="23"/>
        <v>0</v>
      </c>
      <c r="AB304" s="313" t="str">
        <f t="shared" si="25"/>
        <v/>
      </c>
      <c r="AC304" s="170" t="str">
        <f t="shared" si="26"/>
        <v/>
      </c>
      <c r="AD304" s="170" t="str">
        <f t="shared" si="27"/>
        <v/>
      </c>
    </row>
    <row r="305" spans="1:30" s="170" customFormat="1" ht="20.399999999999999">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24"/>
        <v/>
      </c>
      <c r="T305" s="155" t="str">
        <f ca="1">IF(B305="","",IF(ISERROR(MATCH($J305,SorP!$B$1:$B$6226,0)),"",INDIRECT("'SorP'!$A$"&amp;MATCH($S305&amp;$J305,SorP!C:C,0))))</f>
        <v/>
      </c>
      <c r="U305" s="168"/>
      <c r="V305" s="169" t="e">
        <f>IF(C305="",NA(),MATCH($B305&amp;$C305,'Smelter Look-up'!$J:$J,0))</f>
        <v>#N/A</v>
      </c>
      <c r="X305" s="170">
        <f t="shared" ca="1" si="23"/>
        <v>0</v>
      </c>
      <c r="AB305" s="313" t="str">
        <f t="shared" si="25"/>
        <v/>
      </c>
      <c r="AC305" s="170" t="str">
        <f t="shared" si="26"/>
        <v/>
      </c>
      <c r="AD305" s="170" t="str">
        <f t="shared" si="27"/>
        <v/>
      </c>
    </row>
    <row r="306" spans="1:30" s="170" customFormat="1" ht="20.399999999999999">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24"/>
        <v/>
      </c>
      <c r="T306" s="155" t="str">
        <f ca="1">IF(B306="","",IF(ISERROR(MATCH($J306,SorP!$B$1:$B$6226,0)),"",INDIRECT("'SorP'!$A$"&amp;MATCH($S306&amp;$J306,SorP!C:C,0))))</f>
        <v/>
      </c>
      <c r="U306" s="168"/>
      <c r="V306" s="169" t="e">
        <f>IF(C306="",NA(),MATCH($B306&amp;$C306,'Smelter Look-up'!$J:$J,0))</f>
        <v>#N/A</v>
      </c>
      <c r="X306" s="170">
        <f t="shared" ca="1" si="23"/>
        <v>0</v>
      </c>
      <c r="AB306" s="313" t="str">
        <f t="shared" si="25"/>
        <v/>
      </c>
      <c r="AC306" s="170" t="str">
        <f t="shared" si="26"/>
        <v/>
      </c>
      <c r="AD306" s="170" t="str">
        <f t="shared" si="27"/>
        <v/>
      </c>
    </row>
    <row r="307" spans="1:30" s="170" customFormat="1" ht="20.399999999999999">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24"/>
        <v/>
      </c>
      <c r="T307" s="155" t="str">
        <f ca="1">IF(B307="","",IF(ISERROR(MATCH($J307,SorP!$B$1:$B$6226,0)),"",INDIRECT("'SorP'!$A$"&amp;MATCH($S307&amp;$J307,SorP!C:C,0))))</f>
        <v/>
      </c>
      <c r="U307" s="168"/>
      <c r="V307" s="169" t="e">
        <f>IF(C307="",NA(),MATCH($B307&amp;$C307,'Smelter Look-up'!$J:$J,0))</f>
        <v>#N/A</v>
      </c>
      <c r="X307" s="170">
        <f t="shared" ca="1" si="23"/>
        <v>0</v>
      </c>
      <c r="AB307" s="313" t="str">
        <f t="shared" si="25"/>
        <v/>
      </c>
      <c r="AC307" s="170" t="str">
        <f t="shared" si="26"/>
        <v/>
      </c>
      <c r="AD307" s="170" t="str">
        <f t="shared" si="27"/>
        <v/>
      </c>
    </row>
    <row r="308" spans="1:30" s="170" customFormat="1" ht="20.399999999999999">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24"/>
        <v/>
      </c>
      <c r="T308" s="155" t="str">
        <f ca="1">IF(B308="","",IF(ISERROR(MATCH($J308,SorP!$B$1:$B$6226,0)),"",INDIRECT("'SorP'!$A$"&amp;MATCH($S308&amp;$J308,SorP!C:C,0))))</f>
        <v/>
      </c>
      <c r="U308" s="168"/>
      <c r="V308" s="169" t="e">
        <f>IF(C308="",NA(),MATCH($B308&amp;$C308,'Smelter Look-up'!$J:$J,0))</f>
        <v>#N/A</v>
      </c>
      <c r="X308" s="170">
        <f t="shared" ca="1" si="23"/>
        <v>0</v>
      </c>
      <c r="AB308" s="313" t="str">
        <f t="shared" si="25"/>
        <v/>
      </c>
      <c r="AC308" s="170" t="str">
        <f t="shared" si="26"/>
        <v/>
      </c>
      <c r="AD308" s="170" t="str">
        <f t="shared" si="27"/>
        <v/>
      </c>
    </row>
    <row r="309" spans="1:30" s="170" customFormat="1" ht="20.399999999999999">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24"/>
        <v/>
      </c>
      <c r="T309" s="155" t="str">
        <f ca="1">IF(B309="","",IF(ISERROR(MATCH($J309,SorP!$B$1:$B$6226,0)),"",INDIRECT("'SorP'!$A$"&amp;MATCH($S309&amp;$J309,SorP!C:C,0))))</f>
        <v/>
      </c>
      <c r="U309" s="168"/>
      <c r="V309" s="169" t="e">
        <f>IF(C309="",NA(),MATCH($B309&amp;$C309,'Smelter Look-up'!$J:$J,0))</f>
        <v>#N/A</v>
      </c>
      <c r="X309" s="170">
        <f t="shared" ca="1" si="23"/>
        <v>0</v>
      </c>
      <c r="AB309" s="313" t="str">
        <f t="shared" si="25"/>
        <v/>
      </c>
      <c r="AC309" s="170" t="str">
        <f t="shared" si="26"/>
        <v/>
      </c>
      <c r="AD309" s="170" t="str">
        <f t="shared" si="27"/>
        <v/>
      </c>
    </row>
    <row r="310" spans="1:30" s="170" customFormat="1" ht="20.399999999999999">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24"/>
        <v/>
      </c>
      <c r="T310" s="155" t="str">
        <f ca="1">IF(B310="","",IF(ISERROR(MATCH($J310,SorP!$B$1:$B$6226,0)),"",INDIRECT("'SorP'!$A$"&amp;MATCH($S310&amp;$J310,SorP!C:C,0))))</f>
        <v/>
      </c>
      <c r="U310" s="168"/>
      <c r="V310" s="169" t="e">
        <f>IF(C310="",NA(),MATCH($B310&amp;$C310,'Smelter Look-up'!$J:$J,0))</f>
        <v>#N/A</v>
      </c>
      <c r="X310" s="170">
        <f t="shared" ca="1" si="23"/>
        <v>0</v>
      </c>
      <c r="AB310" s="313" t="str">
        <f t="shared" si="25"/>
        <v/>
      </c>
      <c r="AC310" s="170" t="str">
        <f t="shared" si="26"/>
        <v/>
      </c>
      <c r="AD310" s="170" t="str">
        <f t="shared" si="27"/>
        <v/>
      </c>
    </row>
    <row r="311" spans="1:30" s="170" customFormat="1" ht="20.399999999999999">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24"/>
        <v/>
      </c>
      <c r="T311" s="155" t="str">
        <f ca="1">IF(B311="","",IF(ISERROR(MATCH($J311,SorP!$B$1:$B$6226,0)),"",INDIRECT("'SorP'!$A$"&amp;MATCH($S311&amp;$J311,SorP!C:C,0))))</f>
        <v/>
      </c>
      <c r="U311" s="168"/>
      <c r="V311" s="169" t="e">
        <f>IF(C311="",NA(),MATCH($B311&amp;$C311,'Smelter Look-up'!$J:$J,0))</f>
        <v>#N/A</v>
      </c>
      <c r="X311" s="170">
        <f t="shared" ca="1" si="23"/>
        <v>0</v>
      </c>
      <c r="AB311" s="313" t="str">
        <f t="shared" si="25"/>
        <v/>
      </c>
      <c r="AC311" s="170" t="str">
        <f t="shared" si="26"/>
        <v/>
      </c>
      <c r="AD311" s="170" t="str">
        <f t="shared" si="27"/>
        <v/>
      </c>
    </row>
    <row r="312" spans="1:30" s="170" customFormat="1" ht="20.399999999999999">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24"/>
        <v/>
      </c>
      <c r="T312" s="155" t="str">
        <f ca="1">IF(B312="","",IF(ISERROR(MATCH($J312,SorP!$B$1:$B$6226,0)),"",INDIRECT("'SorP'!$A$"&amp;MATCH($S312&amp;$J312,SorP!C:C,0))))</f>
        <v/>
      </c>
      <c r="U312" s="168"/>
      <c r="V312" s="169" t="e">
        <f>IF(C312="",NA(),MATCH($B312&amp;$C312,'Smelter Look-up'!$J:$J,0))</f>
        <v>#N/A</v>
      </c>
      <c r="X312" s="170">
        <f t="shared" ca="1" si="23"/>
        <v>0</v>
      </c>
      <c r="AB312" s="313" t="str">
        <f t="shared" si="25"/>
        <v/>
      </c>
      <c r="AC312" s="170" t="str">
        <f t="shared" si="26"/>
        <v/>
      </c>
      <c r="AD312" s="170" t="str">
        <f t="shared" si="27"/>
        <v/>
      </c>
    </row>
    <row r="313" spans="1:30" s="170" customFormat="1" ht="20.399999999999999">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24"/>
        <v/>
      </c>
      <c r="T313" s="155" t="str">
        <f ca="1">IF(B313="","",IF(ISERROR(MATCH($J313,SorP!$B$1:$B$6226,0)),"",INDIRECT("'SorP'!$A$"&amp;MATCH($S313&amp;$J313,SorP!C:C,0))))</f>
        <v/>
      </c>
      <c r="U313" s="168"/>
      <c r="V313" s="169" t="e">
        <f>IF(C313="",NA(),MATCH($B313&amp;$C313,'Smelter Look-up'!$J:$J,0))</f>
        <v>#N/A</v>
      </c>
      <c r="X313" s="170">
        <f t="shared" ca="1" si="23"/>
        <v>0</v>
      </c>
      <c r="AB313" s="313" t="str">
        <f t="shared" si="25"/>
        <v/>
      </c>
      <c r="AC313" s="170" t="str">
        <f t="shared" si="26"/>
        <v/>
      </c>
      <c r="AD313" s="170" t="str">
        <f t="shared" si="27"/>
        <v/>
      </c>
    </row>
    <row r="314" spans="1:30" s="170" customFormat="1" ht="20.399999999999999">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24"/>
        <v/>
      </c>
      <c r="T314" s="155" t="str">
        <f ca="1">IF(B314="","",IF(ISERROR(MATCH($J314,SorP!$B$1:$B$6226,0)),"",INDIRECT("'SorP'!$A$"&amp;MATCH($S314&amp;$J314,SorP!C:C,0))))</f>
        <v/>
      </c>
      <c r="U314" s="168"/>
      <c r="V314" s="169" t="e">
        <f>IF(C314="",NA(),MATCH($B314&amp;$C314,'Smelter Look-up'!$J:$J,0))</f>
        <v>#N/A</v>
      </c>
      <c r="X314" s="170">
        <f t="shared" ca="1" si="23"/>
        <v>0</v>
      </c>
      <c r="AB314" s="313" t="str">
        <f t="shared" si="25"/>
        <v/>
      </c>
      <c r="AC314" s="170" t="str">
        <f t="shared" si="26"/>
        <v/>
      </c>
      <c r="AD314" s="170" t="str">
        <f t="shared" si="27"/>
        <v/>
      </c>
    </row>
    <row r="315" spans="1:30" s="170" customFormat="1" ht="20.399999999999999">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24"/>
        <v/>
      </c>
      <c r="T315" s="155" t="str">
        <f ca="1">IF(B315="","",IF(ISERROR(MATCH($J315,SorP!$B$1:$B$6226,0)),"",INDIRECT("'SorP'!$A$"&amp;MATCH($S315&amp;$J315,SorP!C:C,0))))</f>
        <v/>
      </c>
      <c r="U315" s="168"/>
      <c r="V315" s="169" t="e">
        <f>IF(C315="",NA(),MATCH($B315&amp;$C315,'Smelter Look-up'!$J:$J,0))</f>
        <v>#N/A</v>
      </c>
      <c r="X315" s="170">
        <f t="shared" ca="1" si="23"/>
        <v>0</v>
      </c>
      <c r="AB315" s="313" t="str">
        <f t="shared" si="25"/>
        <v/>
      </c>
      <c r="AC315" s="170" t="str">
        <f t="shared" si="26"/>
        <v/>
      </c>
      <c r="AD315" s="170" t="str">
        <f t="shared" si="27"/>
        <v/>
      </c>
    </row>
    <row r="316" spans="1:30" s="170" customFormat="1" ht="20.399999999999999">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24"/>
        <v/>
      </c>
      <c r="T316" s="155" t="str">
        <f ca="1">IF(B316="","",IF(ISERROR(MATCH($J316,SorP!$B$1:$B$6226,0)),"",INDIRECT("'SorP'!$A$"&amp;MATCH($S316&amp;$J316,SorP!C:C,0))))</f>
        <v/>
      </c>
      <c r="U316" s="168"/>
      <c r="V316" s="169" t="e">
        <f>IF(C316="",NA(),MATCH($B316&amp;$C316,'Smelter Look-up'!$J:$J,0))</f>
        <v>#N/A</v>
      </c>
      <c r="X316" s="170">
        <f t="shared" ca="1" si="23"/>
        <v>0</v>
      </c>
      <c r="AB316" s="313" t="str">
        <f t="shared" si="25"/>
        <v/>
      </c>
      <c r="AC316" s="170" t="str">
        <f t="shared" si="26"/>
        <v/>
      </c>
      <c r="AD316" s="170" t="str">
        <f t="shared" si="27"/>
        <v/>
      </c>
    </row>
    <row r="317" spans="1:30" s="170" customFormat="1" ht="20.399999999999999">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24"/>
        <v/>
      </c>
      <c r="T317" s="155" t="str">
        <f ca="1">IF(B317="","",IF(ISERROR(MATCH($J317,SorP!$B$1:$B$6226,0)),"",INDIRECT("'SorP'!$A$"&amp;MATCH($S317&amp;$J317,SorP!C:C,0))))</f>
        <v/>
      </c>
      <c r="U317" s="168"/>
      <c r="V317" s="169" t="e">
        <f>IF(C317="",NA(),MATCH($B317&amp;$C317,'Smelter Look-up'!$J:$J,0))</f>
        <v>#N/A</v>
      </c>
      <c r="X317" s="170">
        <f t="shared" ca="1" si="23"/>
        <v>0</v>
      </c>
      <c r="AB317" s="313" t="str">
        <f t="shared" si="25"/>
        <v/>
      </c>
      <c r="AC317" s="170" t="str">
        <f t="shared" si="26"/>
        <v/>
      </c>
      <c r="AD317" s="170" t="str">
        <f t="shared" si="27"/>
        <v/>
      </c>
    </row>
    <row r="318" spans="1:30" s="170" customFormat="1" ht="20.399999999999999">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24"/>
        <v/>
      </c>
      <c r="T318" s="155" t="str">
        <f ca="1">IF(B318="","",IF(ISERROR(MATCH($J318,SorP!$B$1:$B$6226,0)),"",INDIRECT("'SorP'!$A$"&amp;MATCH($S318&amp;$J318,SorP!C:C,0))))</f>
        <v/>
      </c>
      <c r="U318" s="168"/>
      <c r="V318" s="169" t="e">
        <f>IF(C318="",NA(),MATCH($B318&amp;$C318,'Smelter Look-up'!$J:$J,0))</f>
        <v>#N/A</v>
      </c>
      <c r="X318" s="170">
        <f t="shared" ca="1" si="23"/>
        <v>0</v>
      </c>
      <c r="AB318" s="313" t="str">
        <f t="shared" si="25"/>
        <v/>
      </c>
      <c r="AC318" s="170" t="str">
        <f t="shared" si="26"/>
        <v/>
      </c>
      <c r="AD318" s="170" t="str">
        <f t="shared" si="27"/>
        <v/>
      </c>
    </row>
    <row r="319" spans="1:30" s="170" customFormat="1" ht="20.399999999999999">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24"/>
        <v/>
      </c>
      <c r="T319" s="155" t="str">
        <f ca="1">IF(B319="","",IF(ISERROR(MATCH($J319,SorP!$B$1:$B$6226,0)),"",INDIRECT("'SorP'!$A$"&amp;MATCH($S319&amp;$J319,SorP!C:C,0))))</f>
        <v/>
      </c>
      <c r="U319" s="168"/>
      <c r="V319" s="169" t="e">
        <f>IF(C319="",NA(),MATCH($B319&amp;$C319,'Smelter Look-up'!$J:$J,0))</f>
        <v>#N/A</v>
      </c>
      <c r="X319" s="170">
        <f t="shared" ref="X319:X382" ca="1" si="28">IF(AND(C319="Smelter not listed",OR(LEN(D319)=0,LEN(E319)=0)),1,0)</f>
        <v>0</v>
      </c>
      <c r="AB319" s="313" t="str">
        <f t="shared" si="25"/>
        <v/>
      </c>
      <c r="AC319" s="170" t="str">
        <f t="shared" si="26"/>
        <v/>
      </c>
      <c r="AD319" s="170" t="str">
        <f t="shared" si="27"/>
        <v/>
      </c>
    </row>
    <row r="320" spans="1:30" s="170" customFormat="1" ht="20.399999999999999">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ref="S320:S383" ca="1" si="2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28"/>
        <v>0</v>
      </c>
      <c r="AB320" s="313" t="str">
        <f t="shared" si="25"/>
        <v/>
      </c>
      <c r="AC320" s="170" t="str">
        <f t="shared" si="26"/>
        <v/>
      </c>
      <c r="AD320" s="170" t="str">
        <f t="shared" si="27"/>
        <v/>
      </c>
    </row>
    <row r="321" spans="1:30" s="170" customFormat="1" ht="20.399999999999999">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29"/>
        <v/>
      </c>
      <c r="T321" s="155" t="str">
        <f ca="1">IF(B321="","",IF(ISERROR(MATCH($J321,SorP!$B$1:$B$6226,0)),"",INDIRECT("'SorP'!$A$"&amp;MATCH($S321&amp;$J321,SorP!C:C,0))))</f>
        <v/>
      </c>
      <c r="U321" s="168"/>
      <c r="V321" s="169" t="e">
        <f>IF(C321="",NA(),MATCH($B321&amp;$C321,'Smelter Look-up'!$J:$J,0))</f>
        <v>#N/A</v>
      </c>
      <c r="X321" s="170">
        <f t="shared" ca="1" si="28"/>
        <v>0</v>
      </c>
      <c r="AB321" s="313" t="str">
        <f t="shared" si="25"/>
        <v/>
      </c>
      <c r="AC321" s="170" t="str">
        <f t="shared" si="26"/>
        <v/>
      </c>
      <c r="AD321" s="170" t="str">
        <f t="shared" si="27"/>
        <v/>
      </c>
    </row>
    <row r="322" spans="1:30" s="170" customFormat="1" ht="20.399999999999999">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29"/>
        <v/>
      </c>
      <c r="T322" s="155" t="str">
        <f ca="1">IF(B322="","",IF(ISERROR(MATCH($J322,SorP!$B$1:$B$6226,0)),"",INDIRECT("'SorP'!$A$"&amp;MATCH($S322&amp;$J322,SorP!C:C,0))))</f>
        <v/>
      </c>
      <c r="U322" s="168"/>
      <c r="V322" s="169" t="e">
        <f>IF(C322="",NA(),MATCH($B322&amp;$C322,'Smelter Look-up'!$J:$J,0))</f>
        <v>#N/A</v>
      </c>
      <c r="X322" s="170">
        <f t="shared" ca="1" si="28"/>
        <v>0</v>
      </c>
      <c r="AB322" s="313" t="str">
        <f t="shared" si="25"/>
        <v/>
      </c>
      <c r="AC322" s="170" t="str">
        <f t="shared" si="26"/>
        <v/>
      </c>
      <c r="AD322" s="170" t="str">
        <f t="shared" si="27"/>
        <v/>
      </c>
    </row>
    <row r="323" spans="1:30" s="170" customFormat="1" ht="20.399999999999999">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29"/>
        <v/>
      </c>
      <c r="T323" s="155" t="str">
        <f ca="1">IF(B323="","",IF(ISERROR(MATCH($J323,SorP!$B$1:$B$6226,0)),"",INDIRECT("'SorP'!$A$"&amp;MATCH($S323&amp;$J323,SorP!C:C,0))))</f>
        <v/>
      </c>
      <c r="U323" s="168"/>
      <c r="V323" s="169" t="e">
        <f>IF(C323="",NA(),MATCH($B323&amp;$C323,'Smelter Look-up'!$J:$J,0))</f>
        <v>#N/A</v>
      </c>
      <c r="X323" s="170">
        <f t="shared" ca="1" si="28"/>
        <v>0</v>
      </c>
      <c r="AB323" s="313" t="str">
        <f t="shared" si="25"/>
        <v/>
      </c>
      <c r="AC323" s="170" t="str">
        <f t="shared" si="26"/>
        <v/>
      </c>
      <c r="AD323" s="170" t="str">
        <f t="shared" si="27"/>
        <v/>
      </c>
    </row>
    <row r="324" spans="1:30" s="170" customFormat="1" ht="20.399999999999999">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29"/>
        <v/>
      </c>
      <c r="T324" s="155" t="str">
        <f ca="1">IF(B324="","",IF(ISERROR(MATCH($J324,SorP!$B$1:$B$6226,0)),"",INDIRECT("'SorP'!$A$"&amp;MATCH($S324&amp;$J324,SorP!C:C,0))))</f>
        <v/>
      </c>
      <c r="U324" s="168"/>
      <c r="V324" s="169" t="e">
        <f>IF(C324="",NA(),MATCH($B324&amp;$C324,'Smelter Look-up'!$J:$J,0))</f>
        <v>#N/A</v>
      </c>
      <c r="X324" s="170">
        <f t="shared" ca="1" si="28"/>
        <v>0</v>
      </c>
      <c r="AB324" s="313" t="str">
        <f t="shared" si="25"/>
        <v/>
      </c>
      <c r="AC324" s="170" t="str">
        <f t="shared" si="26"/>
        <v/>
      </c>
      <c r="AD324" s="170" t="str">
        <f t="shared" si="27"/>
        <v/>
      </c>
    </row>
    <row r="325" spans="1:30" s="170" customFormat="1" ht="20.399999999999999">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29"/>
        <v/>
      </c>
      <c r="T325" s="155" t="str">
        <f ca="1">IF(B325="","",IF(ISERROR(MATCH($J325,SorP!$B$1:$B$6226,0)),"",INDIRECT("'SorP'!$A$"&amp;MATCH($S325&amp;$J325,SorP!C:C,0))))</f>
        <v/>
      </c>
      <c r="U325" s="168"/>
      <c r="V325" s="169" t="e">
        <f>IF(C325="",NA(),MATCH($B325&amp;$C325,'Smelter Look-up'!$J:$J,0))</f>
        <v>#N/A</v>
      </c>
      <c r="X325" s="170">
        <f t="shared" ca="1" si="28"/>
        <v>0</v>
      </c>
      <c r="AB325" s="313" t="str">
        <f t="shared" si="25"/>
        <v/>
      </c>
      <c r="AC325" s="170" t="str">
        <f t="shared" si="26"/>
        <v/>
      </c>
      <c r="AD325" s="170" t="str">
        <f t="shared" si="27"/>
        <v/>
      </c>
    </row>
    <row r="326" spans="1:30" s="170" customFormat="1" ht="20.399999999999999">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29"/>
        <v/>
      </c>
      <c r="T326" s="155" t="str">
        <f ca="1">IF(B326="","",IF(ISERROR(MATCH($J326,SorP!$B$1:$B$6226,0)),"",INDIRECT("'SorP'!$A$"&amp;MATCH($S326&amp;$J326,SorP!C:C,0))))</f>
        <v/>
      </c>
      <c r="U326" s="168"/>
      <c r="V326" s="169" t="e">
        <f>IF(C326="",NA(),MATCH($B326&amp;$C326,'Smelter Look-up'!$J:$J,0))</f>
        <v>#N/A</v>
      </c>
      <c r="X326" s="170">
        <f t="shared" ca="1" si="28"/>
        <v>0</v>
      </c>
      <c r="AB326" s="313" t="str">
        <f t="shared" ref="AB326:AB389" si="30">IF(C326="","",B326)</f>
        <v/>
      </c>
      <c r="AC326" s="170" t="str">
        <f t="shared" ref="AC326:AC389" si="31">B326</f>
        <v/>
      </c>
      <c r="AD326" s="170" t="str">
        <f t="shared" ref="AD326:AD389" si="32">IF(C326="Smelter not listed",D326,C326)</f>
        <v/>
      </c>
    </row>
    <row r="327" spans="1:30" s="170" customFormat="1" ht="20.399999999999999">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29"/>
        <v/>
      </c>
      <c r="T327" s="155" t="str">
        <f ca="1">IF(B327="","",IF(ISERROR(MATCH($J327,SorP!$B$1:$B$6226,0)),"",INDIRECT("'SorP'!$A$"&amp;MATCH($S327&amp;$J327,SorP!C:C,0))))</f>
        <v/>
      </c>
      <c r="U327" s="168"/>
      <c r="V327" s="169" t="e">
        <f>IF(C327="",NA(),MATCH($B327&amp;$C327,'Smelter Look-up'!$J:$J,0))</f>
        <v>#N/A</v>
      </c>
      <c r="X327" s="170">
        <f t="shared" ca="1" si="28"/>
        <v>0</v>
      </c>
      <c r="AB327" s="313" t="str">
        <f t="shared" si="30"/>
        <v/>
      </c>
      <c r="AC327" s="170" t="str">
        <f t="shared" si="31"/>
        <v/>
      </c>
      <c r="AD327" s="170" t="str">
        <f t="shared" si="32"/>
        <v/>
      </c>
    </row>
    <row r="328" spans="1:30" s="170" customFormat="1" ht="20.399999999999999">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29"/>
        <v/>
      </c>
      <c r="T328" s="155" t="str">
        <f ca="1">IF(B328="","",IF(ISERROR(MATCH($J328,SorP!$B$1:$B$6226,0)),"",INDIRECT("'SorP'!$A$"&amp;MATCH($S328&amp;$J328,SorP!C:C,0))))</f>
        <v/>
      </c>
      <c r="U328" s="168"/>
      <c r="V328" s="169" t="e">
        <f>IF(C328="",NA(),MATCH($B328&amp;$C328,'Smelter Look-up'!$J:$J,0))</f>
        <v>#N/A</v>
      </c>
      <c r="X328" s="170">
        <f t="shared" ca="1" si="28"/>
        <v>0</v>
      </c>
      <c r="AB328" s="313" t="str">
        <f t="shared" si="30"/>
        <v/>
      </c>
      <c r="AC328" s="170" t="str">
        <f t="shared" si="31"/>
        <v/>
      </c>
      <c r="AD328" s="170" t="str">
        <f t="shared" si="32"/>
        <v/>
      </c>
    </row>
    <row r="329" spans="1:30" s="170" customFormat="1" ht="20.399999999999999">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29"/>
        <v/>
      </c>
      <c r="T329" s="155" t="str">
        <f ca="1">IF(B329="","",IF(ISERROR(MATCH($J329,SorP!$B$1:$B$6226,0)),"",INDIRECT("'SorP'!$A$"&amp;MATCH($S329&amp;$J329,SorP!C:C,0))))</f>
        <v/>
      </c>
      <c r="U329" s="168"/>
      <c r="V329" s="169" t="e">
        <f>IF(C329="",NA(),MATCH($B329&amp;$C329,'Smelter Look-up'!$J:$J,0))</f>
        <v>#N/A</v>
      </c>
      <c r="X329" s="170">
        <f t="shared" ca="1" si="28"/>
        <v>0</v>
      </c>
      <c r="AB329" s="313" t="str">
        <f t="shared" si="30"/>
        <v/>
      </c>
      <c r="AC329" s="170" t="str">
        <f t="shared" si="31"/>
        <v/>
      </c>
      <c r="AD329" s="170" t="str">
        <f t="shared" si="32"/>
        <v/>
      </c>
    </row>
    <row r="330" spans="1:30" s="170" customFormat="1" ht="20.399999999999999">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29"/>
        <v/>
      </c>
      <c r="T330" s="155" t="str">
        <f ca="1">IF(B330="","",IF(ISERROR(MATCH($J330,SorP!$B$1:$B$6226,0)),"",INDIRECT("'SorP'!$A$"&amp;MATCH($S330&amp;$J330,SorP!C:C,0))))</f>
        <v/>
      </c>
      <c r="U330" s="168"/>
      <c r="V330" s="169" t="e">
        <f>IF(C330="",NA(),MATCH($B330&amp;$C330,'Smelter Look-up'!$J:$J,0))</f>
        <v>#N/A</v>
      </c>
      <c r="X330" s="170">
        <f t="shared" ca="1" si="28"/>
        <v>0</v>
      </c>
      <c r="AB330" s="313" t="str">
        <f t="shared" si="30"/>
        <v/>
      </c>
      <c r="AC330" s="170" t="str">
        <f t="shared" si="31"/>
        <v/>
      </c>
      <c r="AD330" s="170" t="str">
        <f t="shared" si="32"/>
        <v/>
      </c>
    </row>
    <row r="331" spans="1:30" s="170" customFormat="1" ht="20.399999999999999">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29"/>
        <v/>
      </c>
      <c r="T331" s="155" t="str">
        <f ca="1">IF(B331="","",IF(ISERROR(MATCH($J331,SorP!$B$1:$B$6226,0)),"",INDIRECT("'SorP'!$A$"&amp;MATCH($S331&amp;$J331,SorP!C:C,0))))</f>
        <v/>
      </c>
      <c r="U331" s="168"/>
      <c r="V331" s="169" t="e">
        <f>IF(C331="",NA(),MATCH($B331&amp;$C331,'Smelter Look-up'!$J:$J,0))</f>
        <v>#N/A</v>
      </c>
      <c r="X331" s="170">
        <f t="shared" ca="1" si="28"/>
        <v>0</v>
      </c>
      <c r="AB331" s="313" t="str">
        <f t="shared" si="30"/>
        <v/>
      </c>
      <c r="AC331" s="170" t="str">
        <f t="shared" si="31"/>
        <v/>
      </c>
      <c r="AD331" s="170" t="str">
        <f t="shared" si="32"/>
        <v/>
      </c>
    </row>
    <row r="332" spans="1:30" s="170" customFormat="1" ht="20.399999999999999">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29"/>
        <v/>
      </c>
      <c r="T332" s="155" t="str">
        <f ca="1">IF(B332="","",IF(ISERROR(MATCH($J332,SorP!$B$1:$B$6226,0)),"",INDIRECT("'SorP'!$A$"&amp;MATCH($S332&amp;$J332,SorP!C:C,0))))</f>
        <v/>
      </c>
      <c r="U332" s="168"/>
      <c r="V332" s="169" t="e">
        <f>IF(C332="",NA(),MATCH($B332&amp;$C332,'Smelter Look-up'!$J:$J,0))</f>
        <v>#N/A</v>
      </c>
      <c r="X332" s="170">
        <f t="shared" ca="1" si="28"/>
        <v>0</v>
      </c>
      <c r="AB332" s="313" t="str">
        <f t="shared" si="30"/>
        <v/>
      </c>
      <c r="AC332" s="170" t="str">
        <f t="shared" si="31"/>
        <v/>
      </c>
      <c r="AD332" s="170" t="str">
        <f t="shared" si="32"/>
        <v/>
      </c>
    </row>
    <row r="333" spans="1:30" s="170" customFormat="1" ht="20.399999999999999">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29"/>
        <v/>
      </c>
      <c r="T333" s="155" t="str">
        <f ca="1">IF(B333="","",IF(ISERROR(MATCH($J333,SorP!$B$1:$B$6226,0)),"",INDIRECT("'SorP'!$A$"&amp;MATCH($S333&amp;$J333,SorP!C:C,0))))</f>
        <v/>
      </c>
      <c r="U333" s="168"/>
      <c r="V333" s="169" t="e">
        <f>IF(C333="",NA(),MATCH($B333&amp;$C333,'Smelter Look-up'!$J:$J,0))</f>
        <v>#N/A</v>
      </c>
      <c r="X333" s="170">
        <f t="shared" ca="1" si="28"/>
        <v>0</v>
      </c>
      <c r="AB333" s="313" t="str">
        <f t="shared" si="30"/>
        <v/>
      </c>
      <c r="AC333" s="170" t="str">
        <f t="shared" si="31"/>
        <v/>
      </c>
      <c r="AD333" s="170" t="str">
        <f t="shared" si="32"/>
        <v/>
      </c>
    </row>
    <row r="334" spans="1:30" s="170" customFormat="1" ht="20.399999999999999">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29"/>
        <v/>
      </c>
      <c r="T334" s="155" t="str">
        <f ca="1">IF(B334="","",IF(ISERROR(MATCH($J334,SorP!$B$1:$B$6226,0)),"",INDIRECT("'SorP'!$A$"&amp;MATCH($S334&amp;$J334,SorP!C:C,0))))</f>
        <v/>
      </c>
      <c r="U334" s="168"/>
      <c r="V334" s="169" t="e">
        <f>IF(C334="",NA(),MATCH($B334&amp;$C334,'Smelter Look-up'!$J:$J,0))</f>
        <v>#N/A</v>
      </c>
      <c r="X334" s="170">
        <f t="shared" ca="1" si="28"/>
        <v>0</v>
      </c>
      <c r="AB334" s="313" t="str">
        <f t="shared" si="30"/>
        <v/>
      </c>
      <c r="AC334" s="170" t="str">
        <f t="shared" si="31"/>
        <v/>
      </c>
      <c r="AD334" s="170" t="str">
        <f t="shared" si="32"/>
        <v/>
      </c>
    </row>
    <row r="335" spans="1:30" s="170" customFormat="1" ht="20.399999999999999">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29"/>
        <v/>
      </c>
      <c r="T335" s="155" t="str">
        <f ca="1">IF(B335="","",IF(ISERROR(MATCH($J335,SorP!$B$1:$B$6226,0)),"",INDIRECT("'SorP'!$A$"&amp;MATCH($S335&amp;$J335,SorP!C:C,0))))</f>
        <v/>
      </c>
      <c r="U335" s="168"/>
      <c r="V335" s="169" t="e">
        <f>IF(C335="",NA(),MATCH($B335&amp;$C335,'Smelter Look-up'!$J:$J,0))</f>
        <v>#N/A</v>
      </c>
      <c r="X335" s="170">
        <f t="shared" ca="1" si="28"/>
        <v>0</v>
      </c>
      <c r="AB335" s="313" t="str">
        <f t="shared" si="30"/>
        <v/>
      </c>
      <c r="AC335" s="170" t="str">
        <f t="shared" si="31"/>
        <v/>
      </c>
      <c r="AD335" s="170" t="str">
        <f t="shared" si="32"/>
        <v/>
      </c>
    </row>
    <row r="336" spans="1:30" s="170" customFormat="1" ht="20.399999999999999">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29"/>
        <v/>
      </c>
      <c r="T336" s="155" t="str">
        <f ca="1">IF(B336="","",IF(ISERROR(MATCH($J336,SorP!$B$1:$B$6226,0)),"",INDIRECT("'SorP'!$A$"&amp;MATCH($S336&amp;$J336,SorP!C:C,0))))</f>
        <v/>
      </c>
      <c r="U336" s="168"/>
      <c r="V336" s="169" t="e">
        <f>IF(C336="",NA(),MATCH($B336&amp;$C336,'Smelter Look-up'!$J:$J,0))</f>
        <v>#N/A</v>
      </c>
      <c r="X336" s="170">
        <f t="shared" ca="1" si="28"/>
        <v>0</v>
      </c>
      <c r="AB336" s="313" t="str">
        <f t="shared" si="30"/>
        <v/>
      </c>
      <c r="AC336" s="170" t="str">
        <f t="shared" si="31"/>
        <v/>
      </c>
      <c r="AD336" s="170" t="str">
        <f t="shared" si="32"/>
        <v/>
      </c>
    </row>
    <row r="337" spans="1:30" s="170" customFormat="1" ht="20.399999999999999">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29"/>
        <v/>
      </c>
      <c r="T337" s="155" t="str">
        <f ca="1">IF(B337="","",IF(ISERROR(MATCH($J337,SorP!$B$1:$B$6226,0)),"",INDIRECT("'SorP'!$A$"&amp;MATCH($S337&amp;$J337,SorP!C:C,0))))</f>
        <v/>
      </c>
      <c r="U337" s="168"/>
      <c r="V337" s="169" t="e">
        <f>IF(C337="",NA(),MATCH($B337&amp;$C337,'Smelter Look-up'!$J:$J,0))</f>
        <v>#N/A</v>
      </c>
      <c r="X337" s="170">
        <f t="shared" ca="1" si="28"/>
        <v>0</v>
      </c>
      <c r="AB337" s="313" t="str">
        <f t="shared" si="30"/>
        <v/>
      </c>
      <c r="AC337" s="170" t="str">
        <f t="shared" si="31"/>
        <v/>
      </c>
      <c r="AD337" s="170" t="str">
        <f t="shared" si="32"/>
        <v/>
      </c>
    </row>
    <row r="338" spans="1:30" s="170" customFormat="1" ht="20.399999999999999">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29"/>
        <v/>
      </c>
      <c r="T338" s="155" t="str">
        <f ca="1">IF(B338="","",IF(ISERROR(MATCH($J338,SorP!$B$1:$B$6226,0)),"",INDIRECT("'SorP'!$A$"&amp;MATCH($S338&amp;$J338,SorP!C:C,0))))</f>
        <v/>
      </c>
      <c r="U338" s="168"/>
      <c r="V338" s="169" t="e">
        <f>IF(C338="",NA(),MATCH($B338&amp;$C338,'Smelter Look-up'!$J:$J,0))</f>
        <v>#N/A</v>
      </c>
      <c r="X338" s="170">
        <f t="shared" ca="1" si="28"/>
        <v>0</v>
      </c>
      <c r="AB338" s="313" t="str">
        <f t="shared" si="30"/>
        <v/>
      </c>
      <c r="AC338" s="170" t="str">
        <f t="shared" si="31"/>
        <v/>
      </c>
      <c r="AD338" s="170" t="str">
        <f t="shared" si="32"/>
        <v/>
      </c>
    </row>
    <row r="339" spans="1:30" s="170" customFormat="1" ht="20.399999999999999">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29"/>
        <v/>
      </c>
      <c r="T339" s="155" t="str">
        <f ca="1">IF(B339="","",IF(ISERROR(MATCH($J339,SorP!$B$1:$B$6226,0)),"",INDIRECT("'SorP'!$A$"&amp;MATCH($S339&amp;$J339,SorP!C:C,0))))</f>
        <v/>
      </c>
      <c r="U339" s="168"/>
      <c r="V339" s="169" t="e">
        <f>IF(C339="",NA(),MATCH($B339&amp;$C339,'Smelter Look-up'!$J:$J,0))</f>
        <v>#N/A</v>
      </c>
      <c r="X339" s="170">
        <f t="shared" ca="1" si="28"/>
        <v>0</v>
      </c>
      <c r="AB339" s="313" t="str">
        <f t="shared" si="30"/>
        <v/>
      </c>
      <c r="AC339" s="170" t="str">
        <f t="shared" si="31"/>
        <v/>
      </c>
      <c r="AD339" s="170" t="str">
        <f t="shared" si="32"/>
        <v/>
      </c>
    </row>
    <row r="340" spans="1:30" s="170" customFormat="1" ht="20.399999999999999">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29"/>
        <v/>
      </c>
      <c r="T340" s="155" t="str">
        <f ca="1">IF(B340="","",IF(ISERROR(MATCH($J340,SorP!$B$1:$B$6226,0)),"",INDIRECT("'SorP'!$A$"&amp;MATCH($S340&amp;$J340,SorP!C:C,0))))</f>
        <v/>
      </c>
      <c r="U340" s="168"/>
      <c r="V340" s="169" t="e">
        <f>IF(C340="",NA(),MATCH($B340&amp;$C340,'Smelter Look-up'!$J:$J,0))</f>
        <v>#N/A</v>
      </c>
      <c r="X340" s="170">
        <f t="shared" ca="1" si="28"/>
        <v>0</v>
      </c>
      <c r="AB340" s="313" t="str">
        <f t="shared" si="30"/>
        <v/>
      </c>
      <c r="AC340" s="170" t="str">
        <f t="shared" si="31"/>
        <v/>
      </c>
      <c r="AD340" s="170" t="str">
        <f t="shared" si="32"/>
        <v/>
      </c>
    </row>
    <row r="341" spans="1:30" s="170" customFormat="1" ht="20.399999999999999">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29"/>
        <v/>
      </c>
      <c r="T341" s="155" t="str">
        <f ca="1">IF(B341="","",IF(ISERROR(MATCH($J341,SorP!$B$1:$B$6226,0)),"",INDIRECT("'SorP'!$A$"&amp;MATCH($S341&amp;$J341,SorP!C:C,0))))</f>
        <v/>
      </c>
      <c r="U341" s="168"/>
      <c r="V341" s="169" t="e">
        <f>IF(C341="",NA(),MATCH($B341&amp;$C341,'Smelter Look-up'!$J:$J,0))</f>
        <v>#N/A</v>
      </c>
      <c r="X341" s="170">
        <f t="shared" ca="1" si="28"/>
        <v>0</v>
      </c>
      <c r="AB341" s="313" t="str">
        <f t="shared" si="30"/>
        <v/>
      </c>
      <c r="AC341" s="170" t="str">
        <f t="shared" si="31"/>
        <v/>
      </c>
      <c r="AD341" s="170" t="str">
        <f t="shared" si="32"/>
        <v/>
      </c>
    </row>
    <row r="342" spans="1:30" s="170" customFormat="1" ht="20.399999999999999">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29"/>
        <v/>
      </c>
      <c r="T342" s="155" t="str">
        <f ca="1">IF(B342="","",IF(ISERROR(MATCH($J342,SorP!$B$1:$B$6226,0)),"",INDIRECT("'SorP'!$A$"&amp;MATCH($S342&amp;$J342,SorP!C:C,0))))</f>
        <v/>
      </c>
      <c r="U342" s="168"/>
      <c r="V342" s="169" t="e">
        <f>IF(C342="",NA(),MATCH($B342&amp;$C342,'Smelter Look-up'!$J:$J,0))</f>
        <v>#N/A</v>
      </c>
      <c r="X342" s="170">
        <f t="shared" ca="1" si="28"/>
        <v>0</v>
      </c>
      <c r="AB342" s="313" t="str">
        <f t="shared" si="30"/>
        <v/>
      </c>
      <c r="AC342" s="170" t="str">
        <f t="shared" si="31"/>
        <v/>
      </c>
      <c r="AD342" s="170" t="str">
        <f t="shared" si="32"/>
        <v/>
      </c>
    </row>
    <row r="343" spans="1:30" s="170" customFormat="1" ht="20.399999999999999">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29"/>
        <v/>
      </c>
      <c r="T343" s="155" t="str">
        <f ca="1">IF(B343="","",IF(ISERROR(MATCH($J343,SorP!$B$1:$B$6226,0)),"",INDIRECT("'SorP'!$A$"&amp;MATCH($S343&amp;$J343,SorP!C:C,0))))</f>
        <v/>
      </c>
      <c r="U343" s="168"/>
      <c r="V343" s="169" t="e">
        <f>IF(C343="",NA(),MATCH($B343&amp;$C343,'Smelter Look-up'!$J:$J,0))</f>
        <v>#N/A</v>
      </c>
      <c r="X343" s="170">
        <f t="shared" ca="1" si="28"/>
        <v>0</v>
      </c>
      <c r="AB343" s="313" t="str">
        <f t="shared" si="30"/>
        <v/>
      </c>
      <c r="AC343" s="170" t="str">
        <f t="shared" si="31"/>
        <v/>
      </c>
      <c r="AD343" s="170" t="str">
        <f t="shared" si="32"/>
        <v/>
      </c>
    </row>
    <row r="344" spans="1:30" s="170" customFormat="1" ht="20.399999999999999">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29"/>
        <v/>
      </c>
      <c r="T344" s="155" t="str">
        <f ca="1">IF(B344="","",IF(ISERROR(MATCH($J344,SorP!$B$1:$B$6226,0)),"",INDIRECT("'SorP'!$A$"&amp;MATCH($S344&amp;$J344,SorP!C:C,0))))</f>
        <v/>
      </c>
      <c r="U344" s="168"/>
      <c r="V344" s="169" t="e">
        <f>IF(C344="",NA(),MATCH($B344&amp;$C344,'Smelter Look-up'!$J:$J,0))</f>
        <v>#N/A</v>
      </c>
      <c r="X344" s="170">
        <f t="shared" ca="1" si="28"/>
        <v>0</v>
      </c>
      <c r="AB344" s="313" t="str">
        <f t="shared" si="30"/>
        <v/>
      </c>
      <c r="AC344" s="170" t="str">
        <f t="shared" si="31"/>
        <v/>
      </c>
      <c r="AD344" s="170" t="str">
        <f t="shared" si="32"/>
        <v/>
      </c>
    </row>
    <row r="345" spans="1:30" s="170" customFormat="1" ht="20.399999999999999">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29"/>
        <v/>
      </c>
      <c r="T345" s="155" t="str">
        <f ca="1">IF(B345="","",IF(ISERROR(MATCH($J345,SorP!$B$1:$B$6226,0)),"",INDIRECT("'SorP'!$A$"&amp;MATCH($S345&amp;$J345,SorP!C:C,0))))</f>
        <v/>
      </c>
      <c r="U345" s="168"/>
      <c r="V345" s="169" t="e">
        <f>IF(C345="",NA(),MATCH($B345&amp;$C345,'Smelter Look-up'!$J:$J,0))</f>
        <v>#N/A</v>
      </c>
      <c r="X345" s="170">
        <f t="shared" ca="1" si="28"/>
        <v>0</v>
      </c>
      <c r="AB345" s="313" t="str">
        <f t="shared" si="30"/>
        <v/>
      </c>
      <c r="AC345" s="170" t="str">
        <f t="shared" si="31"/>
        <v/>
      </c>
      <c r="AD345" s="170" t="str">
        <f t="shared" si="32"/>
        <v/>
      </c>
    </row>
    <row r="346" spans="1:30" s="170" customFormat="1" ht="20.399999999999999">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29"/>
        <v/>
      </c>
      <c r="T346" s="155" t="str">
        <f ca="1">IF(B346="","",IF(ISERROR(MATCH($J346,SorP!$B$1:$B$6226,0)),"",INDIRECT("'SorP'!$A$"&amp;MATCH($S346&amp;$J346,SorP!C:C,0))))</f>
        <v/>
      </c>
      <c r="U346" s="168"/>
      <c r="V346" s="169" t="e">
        <f>IF(C346="",NA(),MATCH($B346&amp;$C346,'Smelter Look-up'!$J:$J,0))</f>
        <v>#N/A</v>
      </c>
      <c r="X346" s="170">
        <f t="shared" ca="1" si="28"/>
        <v>0</v>
      </c>
      <c r="AB346" s="313" t="str">
        <f t="shared" si="30"/>
        <v/>
      </c>
      <c r="AC346" s="170" t="str">
        <f t="shared" si="31"/>
        <v/>
      </c>
      <c r="AD346" s="170" t="str">
        <f t="shared" si="32"/>
        <v/>
      </c>
    </row>
    <row r="347" spans="1:30" s="170" customFormat="1" ht="20.399999999999999">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29"/>
        <v/>
      </c>
      <c r="T347" s="155" t="str">
        <f ca="1">IF(B347="","",IF(ISERROR(MATCH($J347,SorP!$B$1:$B$6226,0)),"",INDIRECT("'SorP'!$A$"&amp;MATCH($S347&amp;$J347,SorP!C:C,0))))</f>
        <v/>
      </c>
      <c r="U347" s="168"/>
      <c r="V347" s="169" t="e">
        <f>IF(C347="",NA(),MATCH($B347&amp;$C347,'Smelter Look-up'!$J:$J,0))</f>
        <v>#N/A</v>
      </c>
      <c r="X347" s="170">
        <f t="shared" ca="1" si="28"/>
        <v>0</v>
      </c>
      <c r="AB347" s="313" t="str">
        <f t="shared" si="30"/>
        <v/>
      </c>
      <c r="AC347" s="170" t="str">
        <f t="shared" si="31"/>
        <v/>
      </c>
      <c r="AD347" s="170" t="str">
        <f t="shared" si="32"/>
        <v/>
      </c>
    </row>
    <row r="348" spans="1:30" s="170" customFormat="1" ht="20.399999999999999">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29"/>
        <v/>
      </c>
      <c r="T348" s="155" t="str">
        <f ca="1">IF(B348="","",IF(ISERROR(MATCH($J348,SorP!$B$1:$B$6226,0)),"",INDIRECT("'SorP'!$A$"&amp;MATCH($S348&amp;$J348,SorP!C:C,0))))</f>
        <v/>
      </c>
      <c r="U348" s="168"/>
      <c r="V348" s="169" t="e">
        <f>IF(C348="",NA(),MATCH($B348&amp;$C348,'Smelter Look-up'!$J:$J,0))</f>
        <v>#N/A</v>
      </c>
      <c r="X348" s="170">
        <f t="shared" ca="1" si="28"/>
        <v>0</v>
      </c>
      <c r="AB348" s="313" t="str">
        <f t="shared" si="30"/>
        <v/>
      </c>
      <c r="AC348" s="170" t="str">
        <f t="shared" si="31"/>
        <v/>
      </c>
      <c r="AD348" s="170" t="str">
        <f t="shared" si="32"/>
        <v/>
      </c>
    </row>
    <row r="349" spans="1:30" s="170" customFormat="1" ht="20.399999999999999">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29"/>
        <v/>
      </c>
      <c r="T349" s="155" t="str">
        <f ca="1">IF(B349="","",IF(ISERROR(MATCH($J349,SorP!$B$1:$B$6226,0)),"",INDIRECT("'SorP'!$A$"&amp;MATCH($S349&amp;$J349,SorP!C:C,0))))</f>
        <v/>
      </c>
      <c r="U349" s="168"/>
      <c r="V349" s="169" t="e">
        <f>IF(C349="",NA(),MATCH($B349&amp;$C349,'Smelter Look-up'!$J:$J,0))</f>
        <v>#N/A</v>
      </c>
      <c r="X349" s="170">
        <f t="shared" ca="1" si="28"/>
        <v>0</v>
      </c>
      <c r="AB349" s="313" t="str">
        <f t="shared" si="30"/>
        <v/>
      </c>
      <c r="AC349" s="170" t="str">
        <f t="shared" si="31"/>
        <v/>
      </c>
      <c r="AD349" s="170" t="str">
        <f t="shared" si="32"/>
        <v/>
      </c>
    </row>
    <row r="350" spans="1:30" s="170" customFormat="1" ht="20.399999999999999">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29"/>
        <v/>
      </c>
      <c r="T350" s="155" t="str">
        <f ca="1">IF(B350="","",IF(ISERROR(MATCH($J350,SorP!$B$1:$B$6226,0)),"",INDIRECT("'SorP'!$A$"&amp;MATCH($S350&amp;$J350,SorP!C:C,0))))</f>
        <v/>
      </c>
      <c r="U350" s="168"/>
      <c r="V350" s="169" t="e">
        <f>IF(C350="",NA(),MATCH($B350&amp;$C350,'Smelter Look-up'!$J:$J,0))</f>
        <v>#N/A</v>
      </c>
      <c r="X350" s="170">
        <f t="shared" ca="1" si="28"/>
        <v>0</v>
      </c>
      <c r="AB350" s="313" t="str">
        <f t="shared" si="30"/>
        <v/>
      </c>
      <c r="AC350" s="170" t="str">
        <f t="shared" si="31"/>
        <v/>
      </c>
      <c r="AD350" s="170" t="str">
        <f t="shared" si="32"/>
        <v/>
      </c>
    </row>
    <row r="351" spans="1:30" s="170" customFormat="1" ht="20.399999999999999">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29"/>
        <v/>
      </c>
      <c r="T351" s="155" t="str">
        <f ca="1">IF(B351="","",IF(ISERROR(MATCH($J351,SorP!$B$1:$B$6226,0)),"",INDIRECT("'SorP'!$A$"&amp;MATCH($S351&amp;$J351,SorP!C:C,0))))</f>
        <v/>
      </c>
      <c r="U351" s="168"/>
      <c r="V351" s="169" t="e">
        <f>IF(C351="",NA(),MATCH($B351&amp;$C351,'Smelter Look-up'!$J:$J,0))</f>
        <v>#N/A</v>
      </c>
      <c r="X351" s="170">
        <f t="shared" ca="1" si="28"/>
        <v>0</v>
      </c>
      <c r="AB351" s="313" t="str">
        <f t="shared" si="30"/>
        <v/>
      </c>
      <c r="AC351" s="170" t="str">
        <f t="shared" si="31"/>
        <v/>
      </c>
      <c r="AD351" s="170" t="str">
        <f t="shared" si="32"/>
        <v/>
      </c>
    </row>
    <row r="352" spans="1:30" s="170" customFormat="1" ht="20.399999999999999">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9"/>
        <v/>
      </c>
      <c r="T352" s="155" t="str">
        <f ca="1">IF(B352="","",IF(ISERROR(MATCH($J352,SorP!$B$1:$B$6226,0)),"",INDIRECT("'SorP'!$A$"&amp;MATCH($S352&amp;$J352,SorP!C:C,0))))</f>
        <v/>
      </c>
      <c r="U352" s="168"/>
      <c r="V352" s="169" t="e">
        <f>IF(C352="",NA(),MATCH($B352&amp;$C352,'Smelter Look-up'!$J:$J,0))</f>
        <v>#N/A</v>
      </c>
      <c r="X352" s="170">
        <f t="shared" ca="1" si="28"/>
        <v>0</v>
      </c>
      <c r="AB352" s="313" t="str">
        <f t="shared" si="30"/>
        <v/>
      </c>
      <c r="AC352" s="170" t="str">
        <f t="shared" si="31"/>
        <v/>
      </c>
      <c r="AD352" s="170" t="str">
        <f t="shared" si="32"/>
        <v/>
      </c>
    </row>
    <row r="353" spans="1:30" s="170" customFormat="1" ht="20.399999999999999">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9"/>
        <v/>
      </c>
      <c r="T353" s="155" t="str">
        <f ca="1">IF(B353="","",IF(ISERROR(MATCH($J353,SorP!$B$1:$B$6226,0)),"",INDIRECT("'SorP'!$A$"&amp;MATCH($S353&amp;$J353,SorP!C:C,0))))</f>
        <v/>
      </c>
      <c r="U353" s="168"/>
      <c r="V353" s="169" t="e">
        <f>IF(C353="",NA(),MATCH($B353&amp;$C353,'Smelter Look-up'!$J:$J,0))</f>
        <v>#N/A</v>
      </c>
      <c r="X353" s="170">
        <f t="shared" ca="1" si="28"/>
        <v>0</v>
      </c>
      <c r="AB353" s="313" t="str">
        <f t="shared" si="30"/>
        <v/>
      </c>
      <c r="AC353" s="170" t="str">
        <f t="shared" si="31"/>
        <v/>
      </c>
      <c r="AD353" s="170" t="str">
        <f t="shared" si="32"/>
        <v/>
      </c>
    </row>
    <row r="354" spans="1:30" s="170" customFormat="1" ht="20.399999999999999">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9"/>
        <v/>
      </c>
      <c r="T354" s="155" t="str">
        <f ca="1">IF(B354="","",IF(ISERROR(MATCH($J354,SorP!$B$1:$B$6226,0)),"",INDIRECT("'SorP'!$A$"&amp;MATCH($S354&amp;$J354,SorP!C:C,0))))</f>
        <v/>
      </c>
      <c r="U354" s="168"/>
      <c r="V354" s="169" t="e">
        <f>IF(C354="",NA(),MATCH($B354&amp;$C354,'Smelter Look-up'!$J:$J,0))</f>
        <v>#N/A</v>
      </c>
      <c r="X354" s="170">
        <f t="shared" ca="1" si="28"/>
        <v>0</v>
      </c>
      <c r="AB354" s="313" t="str">
        <f t="shared" si="30"/>
        <v/>
      </c>
      <c r="AC354" s="170" t="str">
        <f t="shared" si="31"/>
        <v/>
      </c>
      <c r="AD354" s="170" t="str">
        <f t="shared" si="32"/>
        <v/>
      </c>
    </row>
    <row r="355" spans="1:30" s="170" customFormat="1" ht="20.399999999999999">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9"/>
        <v/>
      </c>
      <c r="T355" s="155" t="str">
        <f ca="1">IF(B355="","",IF(ISERROR(MATCH($J355,SorP!$B$1:$B$6226,0)),"",INDIRECT("'SorP'!$A$"&amp;MATCH($S355&amp;$J355,SorP!C:C,0))))</f>
        <v/>
      </c>
      <c r="U355" s="168"/>
      <c r="V355" s="169" t="e">
        <f>IF(C355="",NA(),MATCH($B355&amp;$C355,'Smelter Look-up'!$J:$J,0))</f>
        <v>#N/A</v>
      </c>
      <c r="X355" s="170">
        <f t="shared" ca="1" si="28"/>
        <v>0</v>
      </c>
      <c r="AB355" s="313" t="str">
        <f t="shared" si="30"/>
        <v/>
      </c>
      <c r="AC355" s="170" t="str">
        <f t="shared" si="31"/>
        <v/>
      </c>
      <c r="AD355" s="170" t="str">
        <f t="shared" si="32"/>
        <v/>
      </c>
    </row>
    <row r="356" spans="1:30" s="170" customFormat="1" ht="20.399999999999999">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9"/>
        <v/>
      </c>
      <c r="T356" s="155" t="str">
        <f ca="1">IF(B356="","",IF(ISERROR(MATCH($J356,SorP!$B$1:$B$6226,0)),"",INDIRECT("'SorP'!$A$"&amp;MATCH($S356&amp;$J356,SorP!C:C,0))))</f>
        <v/>
      </c>
      <c r="U356" s="168"/>
      <c r="V356" s="169" t="e">
        <f>IF(C356="",NA(),MATCH($B356&amp;$C356,'Smelter Look-up'!$J:$J,0))</f>
        <v>#N/A</v>
      </c>
      <c r="X356" s="170">
        <f t="shared" ca="1" si="28"/>
        <v>0</v>
      </c>
      <c r="AB356" s="313" t="str">
        <f t="shared" si="30"/>
        <v/>
      </c>
      <c r="AC356" s="170" t="str">
        <f t="shared" si="31"/>
        <v/>
      </c>
      <c r="AD356" s="170" t="str">
        <f t="shared" si="32"/>
        <v/>
      </c>
    </row>
    <row r="357" spans="1:30" s="170" customFormat="1" ht="20.399999999999999">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9"/>
        <v/>
      </c>
      <c r="T357" s="155" t="str">
        <f ca="1">IF(B357="","",IF(ISERROR(MATCH($J357,SorP!$B$1:$B$6226,0)),"",INDIRECT("'SorP'!$A$"&amp;MATCH($S357&amp;$J357,SorP!C:C,0))))</f>
        <v/>
      </c>
      <c r="U357" s="168"/>
      <c r="V357" s="169" t="e">
        <f>IF(C357="",NA(),MATCH($B357&amp;$C357,'Smelter Look-up'!$J:$J,0))</f>
        <v>#N/A</v>
      </c>
      <c r="X357" s="170">
        <f t="shared" ca="1" si="28"/>
        <v>0</v>
      </c>
      <c r="AB357" s="313" t="str">
        <f t="shared" si="30"/>
        <v/>
      </c>
      <c r="AC357" s="170" t="str">
        <f t="shared" si="31"/>
        <v/>
      </c>
      <c r="AD357" s="170" t="str">
        <f t="shared" si="32"/>
        <v/>
      </c>
    </row>
    <row r="358" spans="1:30" s="170" customFormat="1" ht="20.399999999999999">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9"/>
        <v/>
      </c>
      <c r="T358" s="155" t="str">
        <f ca="1">IF(B358="","",IF(ISERROR(MATCH($J358,SorP!$B$1:$B$6226,0)),"",INDIRECT("'SorP'!$A$"&amp;MATCH($S358&amp;$J358,SorP!C:C,0))))</f>
        <v/>
      </c>
      <c r="U358" s="168"/>
      <c r="V358" s="169" t="e">
        <f>IF(C358="",NA(),MATCH($B358&amp;$C358,'Smelter Look-up'!$J:$J,0))</f>
        <v>#N/A</v>
      </c>
      <c r="X358" s="170">
        <f t="shared" ca="1" si="28"/>
        <v>0</v>
      </c>
      <c r="AB358" s="313" t="str">
        <f t="shared" si="30"/>
        <v/>
      </c>
      <c r="AC358" s="170" t="str">
        <f t="shared" si="31"/>
        <v/>
      </c>
      <c r="AD358" s="170" t="str">
        <f t="shared" si="32"/>
        <v/>
      </c>
    </row>
    <row r="359" spans="1:30" s="170" customFormat="1" ht="20.399999999999999">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9"/>
        <v/>
      </c>
      <c r="T359" s="155" t="str">
        <f ca="1">IF(B359="","",IF(ISERROR(MATCH($J359,SorP!$B$1:$B$6226,0)),"",INDIRECT("'SorP'!$A$"&amp;MATCH($S359&amp;$J359,SorP!C:C,0))))</f>
        <v/>
      </c>
      <c r="U359" s="168"/>
      <c r="V359" s="169" t="e">
        <f>IF(C359="",NA(),MATCH($B359&amp;$C359,'Smelter Look-up'!$J:$J,0))</f>
        <v>#N/A</v>
      </c>
      <c r="X359" s="170">
        <f t="shared" ca="1" si="28"/>
        <v>0</v>
      </c>
      <c r="AB359" s="313" t="str">
        <f t="shared" si="30"/>
        <v/>
      </c>
      <c r="AC359" s="170" t="str">
        <f t="shared" si="31"/>
        <v/>
      </c>
      <c r="AD359" s="170" t="str">
        <f t="shared" si="32"/>
        <v/>
      </c>
    </row>
    <row r="360" spans="1:30" s="170" customFormat="1" ht="20.399999999999999">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9"/>
        <v/>
      </c>
      <c r="T360" s="155" t="str">
        <f ca="1">IF(B360="","",IF(ISERROR(MATCH($J360,SorP!$B$1:$B$6226,0)),"",INDIRECT("'SorP'!$A$"&amp;MATCH($S360&amp;$J360,SorP!C:C,0))))</f>
        <v/>
      </c>
      <c r="U360" s="168"/>
      <c r="V360" s="169" t="e">
        <f>IF(C360="",NA(),MATCH($B360&amp;$C360,'Smelter Look-up'!$J:$J,0))</f>
        <v>#N/A</v>
      </c>
      <c r="X360" s="170">
        <f t="shared" ca="1" si="28"/>
        <v>0</v>
      </c>
      <c r="AB360" s="313" t="str">
        <f t="shared" si="30"/>
        <v/>
      </c>
      <c r="AC360" s="170" t="str">
        <f t="shared" si="31"/>
        <v/>
      </c>
      <c r="AD360" s="170" t="str">
        <f t="shared" si="32"/>
        <v/>
      </c>
    </row>
    <row r="361" spans="1:30" s="170" customFormat="1" ht="20.399999999999999">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9"/>
        <v/>
      </c>
      <c r="T361" s="155" t="str">
        <f ca="1">IF(B361="","",IF(ISERROR(MATCH($J361,SorP!$B$1:$B$6226,0)),"",INDIRECT("'SorP'!$A$"&amp;MATCH($S361&amp;$J361,SorP!C:C,0))))</f>
        <v/>
      </c>
      <c r="U361" s="168"/>
      <c r="V361" s="169" t="e">
        <f>IF(C361="",NA(),MATCH($B361&amp;$C361,'Smelter Look-up'!$J:$J,0))</f>
        <v>#N/A</v>
      </c>
      <c r="X361" s="170">
        <f t="shared" ca="1" si="28"/>
        <v>0</v>
      </c>
      <c r="AB361" s="313" t="str">
        <f t="shared" si="30"/>
        <v/>
      </c>
      <c r="AC361" s="170" t="str">
        <f t="shared" si="31"/>
        <v/>
      </c>
      <c r="AD361" s="170" t="str">
        <f t="shared" si="32"/>
        <v/>
      </c>
    </row>
    <row r="362" spans="1:30" s="170" customFormat="1" ht="20.399999999999999">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9"/>
        <v/>
      </c>
      <c r="T362" s="155" t="str">
        <f ca="1">IF(B362="","",IF(ISERROR(MATCH($J362,SorP!$B$1:$B$6226,0)),"",INDIRECT("'SorP'!$A$"&amp;MATCH($S362&amp;$J362,SorP!C:C,0))))</f>
        <v/>
      </c>
      <c r="U362" s="168"/>
      <c r="V362" s="169" t="e">
        <f>IF(C362="",NA(),MATCH($B362&amp;$C362,'Smelter Look-up'!$J:$J,0))</f>
        <v>#N/A</v>
      </c>
      <c r="X362" s="170">
        <f t="shared" ca="1" si="28"/>
        <v>0</v>
      </c>
      <c r="AB362" s="313" t="str">
        <f t="shared" si="30"/>
        <v/>
      </c>
      <c r="AC362" s="170" t="str">
        <f t="shared" si="31"/>
        <v/>
      </c>
      <c r="AD362" s="170" t="str">
        <f t="shared" si="32"/>
        <v/>
      </c>
    </row>
    <row r="363" spans="1:30" s="170" customFormat="1" ht="20.399999999999999">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9"/>
        <v/>
      </c>
      <c r="T363" s="155" t="str">
        <f ca="1">IF(B363="","",IF(ISERROR(MATCH($J363,SorP!$B$1:$B$6226,0)),"",INDIRECT("'SorP'!$A$"&amp;MATCH($S363&amp;$J363,SorP!C:C,0))))</f>
        <v/>
      </c>
      <c r="U363" s="168"/>
      <c r="V363" s="169" t="e">
        <f>IF(C363="",NA(),MATCH($B363&amp;$C363,'Smelter Look-up'!$J:$J,0))</f>
        <v>#N/A</v>
      </c>
      <c r="X363" s="170">
        <f t="shared" ca="1" si="28"/>
        <v>0</v>
      </c>
      <c r="AB363" s="313" t="str">
        <f t="shared" si="30"/>
        <v/>
      </c>
      <c r="AC363" s="170" t="str">
        <f t="shared" si="31"/>
        <v/>
      </c>
      <c r="AD363" s="170" t="str">
        <f t="shared" si="32"/>
        <v/>
      </c>
    </row>
    <row r="364" spans="1:30" s="170" customFormat="1" ht="20.399999999999999">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9"/>
        <v/>
      </c>
      <c r="T364" s="155" t="str">
        <f ca="1">IF(B364="","",IF(ISERROR(MATCH($J364,SorP!$B$1:$B$6226,0)),"",INDIRECT("'SorP'!$A$"&amp;MATCH($S364&amp;$J364,SorP!C:C,0))))</f>
        <v/>
      </c>
      <c r="U364" s="168"/>
      <c r="V364" s="169" t="e">
        <f>IF(C364="",NA(),MATCH($B364&amp;$C364,'Smelter Look-up'!$J:$J,0))</f>
        <v>#N/A</v>
      </c>
      <c r="X364" s="170">
        <f t="shared" ca="1" si="28"/>
        <v>0</v>
      </c>
      <c r="AB364" s="313" t="str">
        <f t="shared" si="30"/>
        <v/>
      </c>
      <c r="AC364" s="170" t="str">
        <f t="shared" si="31"/>
        <v/>
      </c>
      <c r="AD364" s="170" t="str">
        <f t="shared" si="32"/>
        <v/>
      </c>
    </row>
    <row r="365" spans="1:30" s="170" customFormat="1" ht="20.399999999999999">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9"/>
        <v/>
      </c>
      <c r="T365" s="155" t="str">
        <f ca="1">IF(B365="","",IF(ISERROR(MATCH($J365,SorP!$B$1:$B$6226,0)),"",INDIRECT("'SorP'!$A$"&amp;MATCH($S365&amp;$J365,SorP!C:C,0))))</f>
        <v/>
      </c>
      <c r="U365" s="168"/>
      <c r="V365" s="169" t="e">
        <f>IF(C365="",NA(),MATCH($B365&amp;$C365,'Smelter Look-up'!$J:$J,0))</f>
        <v>#N/A</v>
      </c>
      <c r="X365" s="170">
        <f t="shared" ca="1" si="28"/>
        <v>0</v>
      </c>
      <c r="AB365" s="313" t="str">
        <f t="shared" si="30"/>
        <v/>
      </c>
      <c r="AC365" s="170" t="str">
        <f t="shared" si="31"/>
        <v/>
      </c>
      <c r="AD365" s="170" t="str">
        <f t="shared" si="32"/>
        <v/>
      </c>
    </row>
    <row r="366" spans="1:30" s="170" customFormat="1" ht="20.399999999999999">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9"/>
        <v/>
      </c>
      <c r="T366" s="155" t="str">
        <f ca="1">IF(B366="","",IF(ISERROR(MATCH($J366,SorP!$B$1:$B$6226,0)),"",INDIRECT("'SorP'!$A$"&amp;MATCH($S366&amp;$J366,SorP!C:C,0))))</f>
        <v/>
      </c>
      <c r="U366" s="168"/>
      <c r="V366" s="169" t="e">
        <f>IF(C366="",NA(),MATCH($B366&amp;$C366,'Smelter Look-up'!$J:$J,0))</f>
        <v>#N/A</v>
      </c>
      <c r="X366" s="170">
        <f t="shared" ca="1" si="28"/>
        <v>0</v>
      </c>
      <c r="AB366" s="313" t="str">
        <f t="shared" si="30"/>
        <v/>
      </c>
      <c r="AC366" s="170" t="str">
        <f t="shared" si="31"/>
        <v/>
      </c>
      <c r="AD366" s="170" t="str">
        <f t="shared" si="32"/>
        <v/>
      </c>
    </row>
    <row r="367" spans="1:30" s="170" customFormat="1" ht="20.399999999999999">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9"/>
        <v/>
      </c>
      <c r="T367" s="155" t="str">
        <f ca="1">IF(B367="","",IF(ISERROR(MATCH($J367,SorP!$B$1:$B$6226,0)),"",INDIRECT("'SorP'!$A$"&amp;MATCH($S367&amp;$J367,SorP!C:C,0))))</f>
        <v/>
      </c>
      <c r="U367" s="168"/>
      <c r="V367" s="169" t="e">
        <f>IF(C367="",NA(),MATCH($B367&amp;$C367,'Smelter Look-up'!$J:$J,0))</f>
        <v>#N/A</v>
      </c>
      <c r="X367" s="170">
        <f t="shared" ca="1" si="28"/>
        <v>0</v>
      </c>
      <c r="AB367" s="313" t="str">
        <f t="shared" si="30"/>
        <v/>
      </c>
      <c r="AC367" s="170" t="str">
        <f t="shared" si="31"/>
        <v/>
      </c>
      <c r="AD367" s="170" t="str">
        <f t="shared" si="32"/>
        <v/>
      </c>
    </row>
    <row r="368" spans="1:30" s="170" customFormat="1" ht="20.399999999999999">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9"/>
        <v/>
      </c>
      <c r="T368" s="155" t="str">
        <f ca="1">IF(B368="","",IF(ISERROR(MATCH($J368,SorP!$B$1:$B$6226,0)),"",INDIRECT("'SorP'!$A$"&amp;MATCH($S368&amp;$J368,SorP!C:C,0))))</f>
        <v/>
      </c>
      <c r="U368" s="168"/>
      <c r="V368" s="169" t="e">
        <f>IF(C368="",NA(),MATCH($B368&amp;$C368,'Smelter Look-up'!$J:$J,0))</f>
        <v>#N/A</v>
      </c>
      <c r="X368" s="170">
        <f t="shared" ca="1" si="28"/>
        <v>0</v>
      </c>
      <c r="AB368" s="313" t="str">
        <f t="shared" si="30"/>
        <v/>
      </c>
      <c r="AC368" s="170" t="str">
        <f t="shared" si="31"/>
        <v/>
      </c>
      <c r="AD368" s="170" t="str">
        <f t="shared" si="32"/>
        <v/>
      </c>
    </row>
    <row r="369" spans="1:30" s="170" customFormat="1" ht="20.399999999999999">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9"/>
        <v/>
      </c>
      <c r="T369" s="155" t="str">
        <f ca="1">IF(B369="","",IF(ISERROR(MATCH($J369,SorP!$B$1:$B$6226,0)),"",INDIRECT("'SorP'!$A$"&amp;MATCH($S369&amp;$J369,SorP!C:C,0))))</f>
        <v/>
      </c>
      <c r="U369" s="168"/>
      <c r="V369" s="169" t="e">
        <f>IF(C369="",NA(),MATCH($B369&amp;$C369,'Smelter Look-up'!$J:$J,0))</f>
        <v>#N/A</v>
      </c>
      <c r="X369" s="170">
        <f t="shared" ca="1" si="28"/>
        <v>0</v>
      </c>
      <c r="AB369" s="313" t="str">
        <f t="shared" si="30"/>
        <v/>
      </c>
      <c r="AC369" s="170" t="str">
        <f t="shared" si="31"/>
        <v/>
      </c>
      <c r="AD369" s="170" t="str">
        <f t="shared" si="32"/>
        <v/>
      </c>
    </row>
    <row r="370" spans="1:30" s="170" customFormat="1" ht="20.399999999999999">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9"/>
        <v/>
      </c>
      <c r="T370" s="155" t="str">
        <f ca="1">IF(B370="","",IF(ISERROR(MATCH($J370,SorP!$B$1:$B$6226,0)),"",INDIRECT("'SorP'!$A$"&amp;MATCH($S370&amp;$J370,SorP!C:C,0))))</f>
        <v/>
      </c>
      <c r="U370" s="168"/>
      <c r="V370" s="169" t="e">
        <f>IF(C370="",NA(),MATCH($B370&amp;$C370,'Smelter Look-up'!$J:$J,0))</f>
        <v>#N/A</v>
      </c>
      <c r="X370" s="170">
        <f t="shared" ca="1" si="28"/>
        <v>0</v>
      </c>
      <c r="AB370" s="313" t="str">
        <f t="shared" si="30"/>
        <v/>
      </c>
      <c r="AC370" s="170" t="str">
        <f t="shared" si="31"/>
        <v/>
      </c>
      <c r="AD370" s="170" t="str">
        <f t="shared" si="32"/>
        <v/>
      </c>
    </row>
    <row r="371" spans="1:30" s="170" customFormat="1" ht="20.399999999999999">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9"/>
        <v/>
      </c>
      <c r="T371" s="155" t="str">
        <f ca="1">IF(B371="","",IF(ISERROR(MATCH($J371,SorP!$B$1:$B$6226,0)),"",INDIRECT("'SorP'!$A$"&amp;MATCH($S371&amp;$J371,SorP!C:C,0))))</f>
        <v/>
      </c>
      <c r="U371" s="168"/>
      <c r="V371" s="169" t="e">
        <f>IF(C371="",NA(),MATCH($B371&amp;$C371,'Smelter Look-up'!$J:$J,0))</f>
        <v>#N/A</v>
      </c>
      <c r="X371" s="170">
        <f t="shared" ca="1" si="28"/>
        <v>0</v>
      </c>
      <c r="AB371" s="313" t="str">
        <f t="shared" si="30"/>
        <v/>
      </c>
      <c r="AC371" s="170" t="str">
        <f t="shared" si="31"/>
        <v/>
      </c>
      <c r="AD371" s="170" t="str">
        <f t="shared" si="32"/>
        <v/>
      </c>
    </row>
    <row r="372" spans="1:30" s="170" customFormat="1" ht="20.399999999999999">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9"/>
        <v/>
      </c>
      <c r="T372" s="155" t="str">
        <f ca="1">IF(B372="","",IF(ISERROR(MATCH($J372,SorP!$B$1:$B$6226,0)),"",INDIRECT("'SorP'!$A$"&amp;MATCH($S372&amp;$J372,SorP!C:C,0))))</f>
        <v/>
      </c>
      <c r="U372" s="168"/>
      <c r="V372" s="169" t="e">
        <f>IF(C372="",NA(),MATCH($B372&amp;$C372,'Smelter Look-up'!$J:$J,0))</f>
        <v>#N/A</v>
      </c>
      <c r="X372" s="170">
        <f t="shared" ca="1" si="28"/>
        <v>0</v>
      </c>
      <c r="AB372" s="313" t="str">
        <f t="shared" si="30"/>
        <v/>
      </c>
      <c r="AC372" s="170" t="str">
        <f t="shared" si="31"/>
        <v/>
      </c>
      <c r="AD372" s="170" t="str">
        <f t="shared" si="32"/>
        <v/>
      </c>
    </row>
    <row r="373" spans="1:30" s="170" customFormat="1" ht="20.399999999999999">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9"/>
        <v/>
      </c>
      <c r="T373" s="155" t="str">
        <f ca="1">IF(B373="","",IF(ISERROR(MATCH($J373,SorP!$B$1:$B$6226,0)),"",INDIRECT("'SorP'!$A$"&amp;MATCH($S373&amp;$J373,SorP!C:C,0))))</f>
        <v/>
      </c>
      <c r="U373" s="168"/>
      <c r="V373" s="169" t="e">
        <f>IF(C373="",NA(),MATCH($B373&amp;$C373,'Smelter Look-up'!$J:$J,0))</f>
        <v>#N/A</v>
      </c>
      <c r="X373" s="170">
        <f t="shared" ca="1" si="28"/>
        <v>0</v>
      </c>
      <c r="AB373" s="313" t="str">
        <f t="shared" si="30"/>
        <v/>
      </c>
      <c r="AC373" s="170" t="str">
        <f t="shared" si="31"/>
        <v/>
      </c>
      <c r="AD373" s="170" t="str">
        <f t="shared" si="32"/>
        <v/>
      </c>
    </row>
    <row r="374" spans="1:30" s="170" customFormat="1" ht="20.399999999999999">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9"/>
        <v/>
      </c>
      <c r="T374" s="155" t="str">
        <f ca="1">IF(B374="","",IF(ISERROR(MATCH($J374,SorP!$B$1:$B$6226,0)),"",INDIRECT("'SorP'!$A$"&amp;MATCH($S374&amp;$J374,SorP!C:C,0))))</f>
        <v/>
      </c>
      <c r="U374" s="168"/>
      <c r="V374" s="169" t="e">
        <f>IF(C374="",NA(),MATCH($B374&amp;$C374,'Smelter Look-up'!$J:$J,0))</f>
        <v>#N/A</v>
      </c>
      <c r="X374" s="170">
        <f t="shared" ca="1" si="28"/>
        <v>0</v>
      </c>
      <c r="AB374" s="313" t="str">
        <f t="shared" si="30"/>
        <v/>
      </c>
      <c r="AC374" s="170" t="str">
        <f t="shared" si="31"/>
        <v/>
      </c>
      <c r="AD374" s="170" t="str">
        <f t="shared" si="32"/>
        <v/>
      </c>
    </row>
    <row r="375" spans="1:30" s="170" customFormat="1" ht="20.399999999999999">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9"/>
        <v/>
      </c>
      <c r="T375" s="155" t="str">
        <f ca="1">IF(B375="","",IF(ISERROR(MATCH($J375,SorP!$B$1:$B$6226,0)),"",INDIRECT("'SorP'!$A$"&amp;MATCH($S375&amp;$J375,SorP!C:C,0))))</f>
        <v/>
      </c>
      <c r="U375" s="168"/>
      <c r="V375" s="169" t="e">
        <f>IF(C375="",NA(),MATCH($B375&amp;$C375,'Smelter Look-up'!$J:$J,0))</f>
        <v>#N/A</v>
      </c>
      <c r="X375" s="170">
        <f t="shared" ca="1" si="28"/>
        <v>0</v>
      </c>
      <c r="AB375" s="313" t="str">
        <f t="shared" si="30"/>
        <v/>
      </c>
      <c r="AC375" s="170" t="str">
        <f t="shared" si="31"/>
        <v/>
      </c>
      <c r="AD375" s="170" t="str">
        <f t="shared" si="32"/>
        <v/>
      </c>
    </row>
    <row r="376" spans="1:30" s="170" customFormat="1" ht="20.399999999999999">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9"/>
        <v/>
      </c>
      <c r="T376" s="155" t="str">
        <f ca="1">IF(B376="","",IF(ISERROR(MATCH($J376,SorP!$B$1:$B$6226,0)),"",INDIRECT("'SorP'!$A$"&amp;MATCH($S376&amp;$J376,SorP!C:C,0))))</f>
        <v/>
      </c>
      <c r="U376" s="168"/>
      <c r="V376" s="169" t="e">
        <f>IF(C376="",NA(),MATCH($B376&amp;$C376,'Smelter Look-up'!$J:$J,0))</f>
        <v>#N/A</v>
      </c>
      <c r="X376" s="170">
        <f t="shared" ca="1" si="28"/>
        <v>0</v>
      </c>
      <c r="AB376" s="313" t="str">
        <f t="shared" si="30"/>
        <v/>
      </c>
      <c r="AC376" s="170" t="str">
        <f t="shared" si="31"/>
        <v/>
      </c>
      <c r="AD376" s="170" t="str">
        <f t="shared" si="32"/>
        <v/>
      </c>
    </row>
    <row r="377" spans="1:30" s="170" customFormat="1" ht="20.399999999999999">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9"/>
        <v/>
      </c>
      <c r="T377" s="155" t="str">
        <f ca="1">IF(B377="","",IF(ISERROR(MATCH($J377,SorP!$B$1:$B$6226,0)),"",INDIRECT("'SorP'!$A$"&amp;MATCH($S377&amp;$J377,SorP!C:C,0))))</f>
        <v/>
      </c>
      <c r="U377" s="168"/>
      <c r="V377" s="169" t="e">
        <f>IF(C377="",NA(),MATCH($B377&amp;$C377,'Smelter Look-up'!$J:$J,0))</f>
        <v>#N/A</v>
      </c>
      <c r="X377" s="170">
        <f t="shared" ca="1" si="28"/>
        <v>0</v>
      </c>
      <c r="AB377" s="313" t="str">
        <f t="shared" si="30"/>
        <v/>
      </c>
      <c r="AC377" s="170" t="str">
        <f t="shared" si="31"/>
        <v/>
      </c>
      <c r="AD377" s="170" t="str">
        <f t="shared" si="32"/>
        <v/>
      </c>
    </row>
    <row r="378" spans="1:30" s="170" customFormat="1" ht="20.399999999999999">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9"/>
        <v/>
      </c>
      <c r="T378" s="155" t="str">
        <f ca="1">IF(B378="","",IF(ISERROR(MATCH($J378,SorP!$B$1:$B$6226,0)),"",INDIRECT("'SorP'!$A$"&amp;MATCH($S378&amp;$J378,SorP!C:C,0))))</f>
        <v/>
      </c>
      <c r="U378" s="168"/>
      <c r="V378" s="169" t="e">
        <f>IF(C378="",NA(),MATCH($B378&amp;$C378,'Smelter Look-up'!$J:$J,0))</f>
        <v>#N/A</v>
      </c>
      <c r="X378" s="170">
        <f t="shared" ca="1" si="28"/>
        <v>0</v>
      </c>
      <c r="AB378" s="313" t="str">
        <f t="shared" si="30"/>
        <v/>
      </c>
      <c r="AC378" s="170" t="str">
        <f t="shared" si="31"/>
        <v/>
      </c>
      <c r="AD378" s="170" t="str">
        <f t="shared" si="32"/>
        <v/>
      </c>
    </row>
    <row r="379" spans="1:30" s="170" customFormat="1" ht="20.399999999999999">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9"/>
        <v/>
      </c>
      <c r="T379" s="155" t="str">
        <f ca="1">IF(B379="","",IF(ISERROR(MATCH($J379,SorP!$B$1:$B$6226,0)),"",INDIRECT("'SorP'!$A$"&amp;MATCH($S379&amp;$J379,SorP!C:C,0))))</f>
        <v/>
      </c>
      <c r="U379" s="168"/>
      <c r="V379" s="169" t="e">
        <f>IF(C379="",NA(),MATCH($B379&amp;$C379,'Smelter Look-up'!$J:$J,0))</f>
        <v>#N/A</v>
      </c>
      <c r="X379" s="170">
        <f t="shared" ca="1" si="28"/>
        <v>0</v>
      </c>
      <c r="AB379" s="313" t="str">
        <f t="shared" si="30"/>
        <v/>
      </c>
      <c r="AC379" s="170" t="str">
        <f t="shared" si="31"/>
        <v/>
      </c>
      <c r="AD379" s="170" t="str">
        <f t="shared" si="32"/>
        <v/>
      </c>
    </row>
    <row r="380" spans="1:30" s="170" customFormat="1" ht="20.399999999999999">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9"/>
        <v/>
      </c>
      <c r="T380" s="155" t="str">
        <f ca="1">IF(B380="","",IF(ISERROR(MATCH($J380,SorP!$B$1:$B$6226,0)),"",INDIRECT("'SorP'!$A$"&amp;MATCH($S380&amp;$J380,SorP!C:C,0))))</f>
        <v/>
      </c>
      <c r="U380" s="168"/>
      <c r="V380" s="169" t="e">
        <f>IF(C380="",NA(),MATCH($B380&amp;$C380,'Smelter Look-up'!$J:$J,0))</f>
        <v>#N/A</v>
      </c>
      <c r="X380" s="170">
        <f t="shared" ca="1" si="28"/>
        <v>0</v>
      </c>
      <c r="AB380" s="313" t="str">
        <f t="shared" si="30"/>
        <v/>
      </c>
      <c r="AC380" s="170" t="str">
        <f t="shared" si="31"/>
        <v/>
      </c>
      <c r="AD380" s="170" t="str">
        <f t="shared" si="32"/>
        <v/>
      </c>
    </row>
    <row r="381" spans="1:30" s="170" customFormat="1" ht="20.399999999999999">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9"/>
        <v/>
      </c>
      <c r="T381" s="155" t="str">
        <f ca="1">IF(B381="","",IF(ISERROR(MATCH($J381,SorP!$B$1:$B$6226,0)),"",INDIRECT("'SorP'!$A$"&amp;MATCH($S381&amp;$J381,SorP!C:C,0))))</f>
        <v/>
      </c>
      <c r="U381" s="168"/>
      <c r="V381" s="169" t="e">
        <f>IF(C381="",NA(),MATCH($B381&amp;$C381,'Smelter Look-up'!$J:$J,0))</f>
        <v>#N/A</v>
      </c>
      <c r="X381" s="170">
        <f t="shared" ca="1" si="28"/>
        <v>0</v>
      </c>
      <c r="AB381" s="313" t="str">
        <f t="shared" si="30"/>
        <v/>
      </c>
      <c r="AC381" s="170" t="str">
        <f t="shared" si="31"/>
        <v/>
      </c>
      <c r="AD381" s="170" t="str">
        <f t="shared" si="32"/>
        <v/>
      </c>
    </row>
    <row r="382" spans="1:30" s="170" customFormat="1" ht="20.399999999999999">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9"/>
        <v/>
      </c>
      <c r="T382" s="155" t="str">
        <f ca="1">IF(B382="","",IF(ISERROR(MATCH($J382,SorP!$B$1:$B$6226,0)),"",INDIRECT("'SorP'!$A$"&amp;MATCH($S382&amp;$J382,SorP!C:C,0))))</f>
        <v/>
      </c>
      <c r="U382" s="168"/>
      <c r="V382" s="169" t="e">
        <f>IF(C382="",NA(),MATCH($B382&amp;$C382,'Smelter Look-up'!$J:$J,0))</f>
        <v>#N/A</v>
      </c>
      <c r="X382" s="170">
        <f t="shared" ca="1" si="28"/>
        <v>0</v>
      </c>
      <c r="AB382" s="313" t="str">
        <f t="shared" si="30"/>
        <v/>
      </c>
      <c r="AC382" s="170" t="str">
        <f t="shared" si="31"/>
        <v/>
      </c>
      <c r="AD382" s="170" t="str">
        <f t="shared" si="32"/>
        <v/>
      </c>
    </row>
    <row r="383" spans="1:30" s="170" customFormat="1" ht="20.399999999999999">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9"/>
        <v/>
      </c>
      <c r="T383" s="155" t="str">
        <f ca="1">IF(B383="","",IF(ISERROR(MATCH($J383,SorP!$B$1:$B$6226,0)),"",INDIRECT("'SorP'!$A$"&amp;MATCH($S383&amp;$J383,SorP!C:C,0))))</f>
        <v/>
      </c>
      <c r="U383" s="168"/>
      <c r="V383" s="169" t="e">
        <f>IF(C383="",NA(),MATCH($B383&amp;$C383,'Smelter Look-up'!$J:$J,0))</f>
        <v>#N/A</v>
      </c>
      <c r="X383" s="170">
        <f t="shared" ref="X383:X446" ca="1" si="33">IF(AND(C383="Smelter not listed",OR(LEN(D383)=0,LEN(E383)=0)),1,0)</f>
        <v>0</v>
      </c>
      <c r="AB383" s="313" t="str">
        <f t="shared" si="30"/>
        <v/>
      </c>
      <c r="AC383" s="170" t="str">
        <f t="shared" si="31"/>
        <v/>
      </c>
      <c r="AD383" s="170" t="str">
        <f t="shared" si="32"/>
        <v/>
      </c>
    </row>
    <row r="384" spans="1:30" s="170" customFormat="1" ht="20.399999999999999">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ref="S384:S447" ca="1" si="34">IF(B384="","",IF(ISERROR(MATCH($E384,CL,0)),"Unknown",INDIRECT("'C'!$A$"&amp;MATCH($E384,CL,0)+1)))</f>
        <v/>
      </c>
      <c r="T384" s="155" t="str">
        <f ca="1">IF(B384="","",IF(ISERROR(MATCH($J384,SorP!$B$1:$B$6226,0)),"",INDIRECT("'SorP'!$A$"&amp;MATCH($S384&amp;$J384,SorP!C:C,0))))</f>
        <v/>
      </c>
      <c r="U384" s="168"/>
      <c r="V384" s="169" t="e">
        <f>IF(C384="",NA(),MATCH($B384&amp;$C384,'Smelter Look-up'!$J:$J,0))</f>
        <v>#N/A</v>
      </c>
      <c r="X384" s="170">
        <f t="shared" ca="1" si="33"/>
        <v>0</v>
      </c>
      <c r="AB384" s="313" t="str">
        <f t="shared" si="30"/>
        <v/>
      </c>
      <c r="AC384" s="170" t="str">
        <f t="shared" si="31"/>
        <v/>
      </c>
      <c r="AD384" s="170" t="str">
        <f t="shared" si="32"/>
        <v/>
      </c>
    </row>
    <row r="385" spans="1:30" s="170" customFormat="1" ht="20.399999999999999">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34"/>
        <v/>
      </c>
      <c r="T385" s="155" t="str">
        <f ca="1">IF(B385="","",IF(ISERROR(MATCH($J385,SorP!$B$1:$B$6226,0)),"",INDIRECT("'SorP'!$A$"&amp;MATCH($S385&amp;$J385,SorP!C:C,0))))</f>
        <v/>
      </c>
      <c r="U385" s="168"/>
      <c r="V385" s="169" t="e">
        <f>IF(C385="",NA(),MATCH($B385&amp;$C385,'Smelter Look-up'!$J:$J,0))</f>
        <v>#N/A</v>
      </c>
      <c r="X385" s="170">
        <f t="shared" ca="1" si="33"/>
        <v>0</v>
      </c>
      <c r="AB385" s="313" t="str">
        <f t="shared" si="30"/>
        <v/>
      </c>
      <c r="AC385" s="170" t="str">
        <f t="shared" si="31"/>
        <v/>
      </c>
      <c r="AD385" s="170" t="str">
        <f t="shared" si="32"/>
        <v/>
      </c>
    </row>
    <row r="386" spans="1:30" s="170" customFormat="1" ht="20.399999999999999">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34"/>
        <v/>
      </c>
      <c r="T386" s="155" t="str">
        <f ca="1">IF(B386="","",IF(ISERROR(MATCH($J386,SorP!$B$1:$B$6226,0)),"",INDIRECT("'SorP'!$A$"&amp;MATCH($S386&amp;$J386,SorP!C:C,0))))</f>
        <v/>
      </c>
      <c r="U386" s="168"/>
      <c r="V386" s="169" t="e">
        <f>IF(C386="",NA(),MATCH($B386&amp;$C386,'Smelter Look-up'!$J:$J,0))</f>
        <v>#N/A</v>
      </c>
      <c r="X386" s="170">
        <f t="shared" ca="1" si="33"/>
        <v>0</v>
      </c>
      <c r="AB386" s="313" t="str">
        <f t="shared" si="30"/>
        <v/>
      </c>
      <c r="AC386" s="170" t="str">
        <f t="shared" si="31"/>
        <v/>
      </c>
      <c r="AD386" s="170" t="str">
        <f t="shared" si="32"/>
        <v/>
      </c>
    </row>
    <row r="387" spans="1:30" s="170" customFormat="1" ht="20.399999999999999">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34"/>
        <v/>
      </c>
      <c r="T387" s="155" t="str">
        <f ca="1">IF(B387="","",IF(ISERROR(MATCH($J387,SorP!$B$1:$B$6226,0)),"",INDIRECT("'SorP'!$A$"&amp;MATCH($S387&amp;$J387,SorP!C:C,0))))</f>
        <v/>
      </c>
      <c r="U387" s="168"/>
      <c r="V387" s="169" t="e">
        <f>IF(C387="",NA(),MATCH($B387&amp;$C387,'Smelter Look-up'!$J:$J,0))</f>
        <v>#N/A</v>
      </c>
      <c r="X387" s="170">
        <f t="shared" ca="1" si="33"/>
        <v>0</v>
      </c>
      <c r="AB387" s="313" t="str">
        <f t="shared" si="30"/>
        <v/>
      </c>
      <c r="AC387" s="170" t="str">
        <f t="shared" si="31"/>
        <v/>
      </c>
      <c r="AD387" s="170" t="str">
        <f t="shared" si="32"/>
        <v/>
      </c>
    </row>
    <row r="388" spans="1:30" s="170" customFormat="1" ht="20.399999999999999">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34"/>
        <v/>
      </c>
      <c r="T388" s="155" t="str">
        <f ca="1">IF(B388="","",IF(ISERROR(MATCH($J388,SorP!$B$1:$B$6226,0)),"",INDIRECT("'SorP'!$A$"&amp;MATCH($S388&amp;$J388,SorP!C:C,0))))</f>
        <v/>
      </c>
      <c r="U388" s="168"/>
      <c r="V388" s="169" t="e">
        <f>IF(C388="",NA(),MATCH($B388&amp;$C388,'Smelter Look-up'!$J:$J,0))</f>
        <v>#N/A</v>
      </c>
      <c r="X388" s="170">
        <f t="shared" ca="1" si="33"/>
        <v>0</v>
      </c>
      <c r="AB388" s="313" t="str">
        <f t="shared" si="30"/>
        <v/>
      </c>
      <c r="AC388" s="170" t="str">
        <f t="shared" si="31"/>
        <v/>
      </c>
      <c r="AD388" s="170" t="str">
        <f t="shared" si="32"/>
        <v/>
      </c>
    </row>
    <row r="389" spans="1:30" s="170" customFormat="1" ht="20.399999999999999">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34"/>
        <v/>
      </c>
      <c r="T389" s="155" t="str">
        <f ca="1">IF(B389="","",IF(ISERROR(MATCH($J389,SorP!$B$1:$B$6226,0)),"",INDIRECT("'SorP'!$A$"&amp;MATCH($S389&amp;$J389,SorP!C:C,0))))</f>
        <v/>
      </c>
      <c r="U389" s="168"/>
      <c r="V389" s="169" t="e">
        <f>IF(C389="",NA(),MATCH($B389&amp;$C389,'Smelter Look-up'!$J:$J,0))</f>
        <v>#N/A</v>
      </c>
      <c r="X389" s="170">
        <f t="shared" ca="1" si="33"/>
        <v>0</v>
      </c>
      <c r="AB389" s="313" t="str">
        <f t="shared" si="30"/>
        <v/>
      </c>
      <c r="AC389" s="170" t="str">
        <f t="shared" si="31"/>
        <v/>
      </c>
      <c r="AD389" s="170" t="str">
        <f t="shared" si="32"/>
        <v/>
      </c>
    </row>
    <row r="390" spans="1:30" s="170" customFormat="1" ht="20.399999999999999">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34"/>
        <v/>
      </c>
      <c r="T390" s="155" t="str">
        <f ca="1">IF(B390="","",IF(ISERROR(MATCH($J390,SorP!$B$1:$B$6226,0)),"",INDIRECT("'SorP'!$A$"&amp;MATCH($S390&amp;$J390,SorP!C:C,0))))</f>
        <v/>
      </c>
      <c r="U390" s="168"/>
      <c r="V390" s="169" t="e">
        <f>IF(C390="",NA(),MATCH($B390&amp;$C390,'Smelter Look-up'!$J:$J,0))</f>
        <v>#N/A</v>
      </c>
      <c r="X390" s="170">
        <f t="shared" ca="1" si="33"/>
        <v>0</v>
      </c>
      <c r="AB390" s="313" t="str">
        <f t="shared" ref="AB390:AB453" si="35">IF(C390="","",B390)</f>
        <v/>
      </c>
      <c r="AC390" s="170" t="str">
        <f t="shared" ref="AC390:AC453" si="36">B390</f>
        <v/>
      </c>
      <c r="AD390" s="170" t="str">
        <f t="shared" ref="AD390:AD453" si="37">IF(C390="Smelter not listed",D390,C390)</f>
        <v/>
      </c>
    </row>
    <row r="391" spans="1:30" s="170" customFormat="1" ht="20.399999999999999">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34"/>
        <v/>
      </c>
      <c r="T391" s="155" t="str">
        <f ca="1">IF(B391="","",IF(ISERROR(MATCH($J391,SorP!$B$1:$B$6226,0)),"",INDIRECT("'SorP'!$A$"&amp;MATCH($S391&amp;$J391,SorP!C:C,0))))</f>
        <v/>
      </c>
      <c r="U391" s="168"/>
      <c r="V391" s="169" t="e">
        <f>IF(C391="",NA(),MATCH($B391&amp;$C391,'Smelter Look-up'!$J:$J,0))</f>
        <v>#N/A</v>
      </c>
      <c r="X391" s="170">
        <f t="shared" ca="1" si="33"/>
        <v>0</v>
      </c>
      <c r="AB391" s="313" t="str">
        <f t="shared" si="35"/>
        <v/>
      </c>
      <c r="AC391" s="170" t="str">
        <f t="shared" si="36"/>
        <v/>
      </c>
      <c r="AD391" s="170" t="str">
        <f t="shared" si="37"/>
        <v/>
      </c>
    </row>
    <row r="392" spans="1:30" s="170" customFormat="1" ht="20.399999999999999">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34"/>
        <v/>
      </c>
      <c r="T392" s="155" t="str">
        <f ca="1">IF(B392="","",IF(ISERROR(MATCH($J392,SorP!$B$1:$B$6226,0)),"",INDIRECT("'SorP'!$A$"&amp;MATCH($S392&amp;$J392,SorP!C:C,0))))</f>
        <v/>
      </c>
      <c r="U392" s="168"/>
      <c r="V392" s="169" t="e">
        <f>IF(C392="",NA(),MATCH($B392&amp;$C392,'Smelter Look-up'!$J:$J,0))</f>
        <v>#N/A</v>
      </c>
      <c r="X392" s="170">
        <f t="shared" ca="1" si="33"/>
        <v>0</v>
      </c>
      <c r="AB392" s="313" t="str">
        <f t="shared" si="35"/>
        <v/>
      </c>
      <c r="AC392" s="170" t="str">
        <f t="shared" si="36"/>
        <v/>
      </c>
      <c r="AD392" s="170" t="str">
        <f t="shared" si="37"/>
        <v/>
      </c>
    </row>
    <row r="393" spans="1:30" s="170" customFormat="1" ht="20.399999999999999">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34"/>
        <v/>
      </c>
      <c r="T393" s="155" t="str">
        <f ca="1">IF(B393="","",IF(ISERROR(MATCH($J393,SorP!$B$1:$B$6226,0)),"",INDIRECT("'SorP'!$A$"&amp;MATCH($S393&amp;$J393,SorP!C:C,0))))</f>
        <v/>
      </c>
      <c r="U393" s="168"/>
      <c r="V393" s="169" t="e">
        <f>IF(C393="",NA(),MATCH($B393&amp;$C393,'Smelter Look-up'!$J:$J,0))</f>
        <v>#N/A</v>
      </c>
      <c r="X393" s="170">
        <f t="shared" ca="1" si="33"/>
        <v>0</v>
      </c>
      <c r="AB393" s="313" t="str">
        <f t="shared" si="35"/>
        <v/>
      </c>
      <c r="AC393" s="170" t="str">
        <f t="shared" si="36"/>
        <v/>
      </c>
      <c r="AD393" s="170" t="str">
        <f t="shared" si="37"/>
        <v/>
      </c>
    </row>
    <row r="394" spans="1:30" s="170" customFormat="1" ht="20.399999999999999">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34"/>
        <v/>
      </c>
      <c r="T394" s="155" t="str">
        <f ca="1">IF(B394="","",IF(ISERROR(MATCH($J394,SorP!$B$1:$B$6226,0)),"",INDIRECT("'SorP'!$A$"&amp;MATCH($S394&amp;$J394,SorP!C:C,0))))</f>
        <v/>
      </c>
      <c r="U394" s="168"/>
      <c r="V394" s="169" t="e">
        <f>IF(C394="",NA(),MATCH($B394&amp;$C394,'Smelter Look-up'!$J:$J,0))</f>
        <v>#N/A</v>
      </c>
      <c r="X394" s="170">
        <f t="shared" ca="1" si="33"/>
        <v>0</v>
      </c>
      <c r="AB394" s="313" t="str">
        <f t="shared" si="35"/>
        <v/>
      </c>
      <c r="AC394" s="170" t="str">
        <f t="shared" si="36"/>
        <v/>
      </c>
      <c r="AD394" s="170" t="str">
        <f t="shared" si="37"/>
        <v/>
      </c>
    </row>
    <row r="395" spans="1:30" s="170" customFormat="1" ht="20.399999999999999">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34"/>
        <v/>
      </c>
      <c r="T395" s="155" t="str">
        <f ca="1">IF(B395="","",IF(ISERROR(MATCH($J395,SorP!$B$1:$B$6226,0)),"",INDIRECT("'SorP'!$A$"&amp;MATCH($S395&amp;$J395,SorP!C:C,0))))</f>
        <v/>
      </c>
      <c r="U395" s="168"/>
      <c r="V395" s="169" t="e">
        <f>IF(C395="",NA(),MATCH($B395&amp;$C395,'Smelter Look-up'!$J:$J,0))</f>
        <v>#N/A</v>
      </c>
      <c r="X395" s="170">
        <f t="shared" ca="1" si="33"/>
        <v>0</v>
      </c>
      <c r="AB395" s="313" t="str">
        <f t="shared" si="35"/>
        <v/>
      </c>
      <c r="AC395" s="170" t="str">
        <f t="shared" si="36"/>
        <v/>
      </c>
      <c r="AD395" s="170" t="str">
        <f t="shared" si="37"/>
        <v/>
      </c>
    </row>
    <row r="396" spans="1:30" s="170" customFormat="1" ht="20.399999999999999">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34"/>
        <v/>
      </c>
      <c r="T396" s="155" t="str">
        <f ca="1">IF(B396="","",IF(ISERROR(MATCH($J396,SorP!$B$1:$B$6226,0)),"",INDIRECT("'SorP'!$A$"&amp;MATCH($S396&amp;$J396,SorP!C:C,0))))</f>
        <v/>
      </c>
      <c r="U396" s="168"/>
      <c r="V396" s="169" t="e">
        <f>IF(C396="",NA(),MATCH($B396&amp;$C396,'Smelter Look-up'!$J:$J,0))</f>
        <v>#N/A</v>
      </c>
      <c r="X396" s="170">
        <f t="shared" ca="1" si="33"/>
        <v>0</v>
      </c>
      <c r="AB396" s="313" t="str">
        <f t="shared" si="35"/>
        <v/>
      </c>
      <c r="AC396" s="170" t="str">
        <f t="shared" si="36"/>
        <v/>
      </c>
      <c r="AD396" s="170" t="str">
        <f t="shared" si="37"/>
        <v/>
      </c>
    </row>
    <row r="397" spans="1:30" s="170" customFormat="1" ht="20.399999999999999">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34"/>
        <v/>
      </c>
      <c r="T397" s="155" t="str">
        <f ca="1">IF(B397="","",IF(ISERROR(MATCH($J397,SorP!$B$1:$B$6226,0)),"",INDIRECT("'SorP'!$A$"&amp;MATCH($S397&amp;$J397,SorP!C:C,0))))</f>
        <v/>
      </c>
      <c r="U397" s="168"/>
      <c r="V397" s="169" t="e">
        <f>IF(C397="",NA(),MATCH($B397&amp;$C397,'Smelter Look-up'!$J:$J,0))</f>
        <v>#N/A</v>
      </c>
      <c r="X397" s="170">
        <f t="shared" ca="1" si="33"/>
        <v>0</v>
      </c>
      <c r="AB397" s="313" t="str">
        <f t="shared" si="35"/>
        <v/>
      </c>
      <c r="AC397" s="170" t="str">
        <f t="shared" si="36"/>
        <v/>
      </c>
      <c r="AD397" s="170" t="str">
        <f t="shared" si="37"/>
        <v/>
      </c>
    </row>
    <row r="398" spans="1:30" s="170" customFormat="1" ht="20.399999999999999">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34"/>
        <v/>
      </c>
      <c r="T398" s="155" t="str">
        <f ca="1">IF(B398="","",IF(ISERROR(MATCH($J398,SorP!$B$1:$B$6226,0)),"",INDIRECT("'SorP'!$A$"&amp;MATCH($S398&amp;$J398,SorP!C:C,0))))</f>
        <v/>
      </c>
      <c r="U398" s="168"/>
      <c r="V398" s="169" t="e">
        <f>IF(C398="",NA(),MATCH($B398&amp;$C398,'Smelter Look-up'!$J:$J,0))</f>
        <v>#N/A</v>
      </c>
      <c r="X398" s="170">
        <f t="shared" ca="1" si="33"/>
        <v>0</v>
      </c>
      <c r="AB398" s="313" t="str">
        <f t="shared" si="35"/>
        <v/>
      </c>
      <c r="AC398" s="170" t="str">
        <f t="shared" si="36"/>
        <v/>
      </c>
      <c r="AD398" s="170" t="str">
        <f t="shared" si="37"/>
        <v/>
      </c>
    </row>
    <row r="399" spans="1:30" s="170" customFormat="1" ht="20.399999999999999">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34"/>
        <v/>
      </c>
      <c r="T399" s="155" t="str">
        <f ca="1">IF(B399="","",IF(ISERROR(MATCH($J399,SorP!$B$1:$B$6226,0)),"",INDIRECT("'SorP'!$A$"&amp;MATCH($S399&amp;$J399,SorP!C:C,0))))</f>
        <v/>
      </c>
      <c r="U399" s="168"/>
      <c r="V399" s="169" t="e">
        <f>IF(C399="",NA(),MATCH($B399&amp;$C399,'Smelter Look-up'!$J:$J,0))</f>
        <v>#N/A</v>
      </c>
      <c r="X399" s="170">
        <f t="shared" ca="1" si="33"/>
        <v>0</v>
      </c>
      <c r="AB399" s="313" t="str">
        <f t="shared" si="35"/>
        <v/>
      </c>
      <c r="AC399" s="170" t="str">
        <f t="shared" si="36"/>
        <v/>
      </c>
      <c r="AD399" s="170" t="str">
        <f t="shared" si="37"/>
        <v/>
      </c>
    </row>
    <row r="400" spans="1:30" s="170" customFormat="1" ht="20.399999999999999">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34"/>
        <v/>
      </c>
      <c r="T400" s="155" t="str">
        <f ca="1">IF(B400="","",IF(ISERROR(MATCH($J400,SorP!$B$1:$B$6226,0)),"",INDIRECT("'SorP'!$A$"&amp;MATCH($S400&amp;$J400,SorP!C:C,0))))</f>
        <v/>
      </c>
      <c r="U400" s="168"/>
      <c r="V400" s="169" t="e">
        <f>IF(C400="",NA(),MATCH($B400&amp;$C400,'Smelter Look-up'!$J:$J,0))</f>
        <v>#N/A</v>
      </c>
      <c r="X400" s="170">
        <f t="shared" ca="1" si="33"/>
        <v>0</v>
      </c>
      <c r="AB400" s="313" t="str">
        <f t="shared" si="35"/>
        <v/>
      </c>
      <c r="AC400" s="170" t="str">
        <f t="shared" si="36"/>
        <v/>
      </c>
      <c r="AD400" s="170" t="str">
        <f t="shared" si="37"/>
        <v/>
      </c>
    </row>
    <row r="401" spans="1:30" s="170" customFormat="1" ht="20.399999999999999">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34"/>
        <v/>
      </c>
      <c r="T401" s="155" t="str">
        <f ca="1">IF(B401="","",IF(ISERROR(MATCH($J401,SorP!$B$1:$B$6226,0)),"",INDIRECT("'SorP'!$A$"&amp;MATCH($S401&amp;$J401,SorP!C:C,0))))</f>
        <v/>
      </c>
      <c r="U401" s="168"/>
      <c r="V401" s="169" t="e">
        <f>IF(C401="",NA(),MATCH($B401&amp;$C401,'Smelter Look-up'!$J:$J,0))</f>
        <v>#N/A</v>
      </c>
      <c r="X401" s="170">
        <f t="shared" ca="1" si="33"/>
        <v>0</v>
      </c>
      <c r="AB401" s="313" t="str">
        <f t="shared" si="35"/>
        <v/>
      </c>
      <c r="AC401" s="170" t="str">
        <f t="shared" si="36"/>
        <v/>
      </c>
      <c r="AD401" s="170" t="str">
        <f t="shared" si="37"/>
        <v/>
      </c>
    </row>
    <row r="402" spans="1:30" s="170" customFormat="1" ht="20.399999999999999">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34"/>
        <v/>
      </c>
      <c r="T402" s="155" t="str">
        <f ca="1">IF(B402="","",IF(ISERROR(MATCH($J402,SorP!$B$1:$B$6226,0)),"",INDIRECT("'SorP'!$A$"&amp;MATCH($S402&amp;$J402,SorP!C:C,0))))</f>
        <v/>
      </c>
      <c r="U402" s="168"/>
      <c r="V402" s="169" t="e">
        <f>IF(C402="",NA(),MATCH($B402&amp;$C402,'Smelter Look-up'!$J:$J,0))</f>
        <v>#N/A</v>
      </c>
      <c r="X402" s="170">
        <f t="shared" ca="1" si="33"/>
        <v>0</v>
      </c>
      <c r="AB402" s="313" t="str">
        <f t="shared" si="35"/>
        <v/>
      </c>
      <c r="AC402" s="170" t="str">
        <f t="shared" si="36"/>
        <v/>
      </c>
      <c r="AD402" s="170" t="str">
        <f t="shared" si="37"/>
        <v/>
      </c>
    </row>
    <row r="403" spans="1:30" s="170" customFormat="1" ht="20.399999999999999">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34"/>
        <v/>
      </c>
      <c r="T403" s="155" t="str">
        <f ca="1">IF(B403="","",IF(ISERROR(MATCH($J403,SorP!$B$1:$B$6226,0)),"",INDIRECT("'SorP'!$A$"&amp;MATCH($S403&amp;$J403,SorP!C:C,0))))</f>
        <v/>
      </c>
      <c r="U403" s="168"/>
      <c r="V403" s="169" t="e">
        <f>IF(C403="",NA(),MATCH($B403&amp;$C403,'Smelter Look-up'!$J:$J,0))</f>
        <v>#N/A</v>
      </c>
      <c r="X403" s="170">
        <f t="shared" ca="1" si="33"/>
        <v>0</v>
      </c>
      <c r="AB403" s="313" t="str">
        <f t="shared" si="35"/>
        <v/>
      </c>
      <c r="AC403" s="170" t="str">
        <f t="shared" si="36"/>
        <v/>
      </c>
      <c r="AD403" s="170" t="str">
        <f t="shared" si="37"/>
        <v/>
      </c>
    </row>
    <row r="404" spans="1:30" s="170" customFormat="1" ht="20.399999999999999">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34"/>
        <v/>
      </c>
      <c r="T404" s="155" t="str">
        <f ca="1">IF(B404="","",IF(ISERROR(MATCH($J404,SorP!$B$1:$B$6226,0)),"",INDIRECT("'SorP'!$A$"&amp;MATCH($S404&amp;$J404,SorP!C:C,0))))</f>
        <v/>
      </c>
      <c r="U404" s="168"/>
      <c r="V404" s="169" t="e">
        <f>IF(C404="",NA(),MATCH($B404&amp;$C404,'Smelter Look-up'!$J:$J,0))</f>
        <v>#N/A</v>
      </c>
      <c r="X404" s="170">
        <f t="shared" ca="1" si="33"/>
        <v>0</v>
      </c>
      <c r="AB404" s="313" t="str">
        <f t="shared" si="35"/>
        <v/>
      </c>
      <c r="AC404" s="170" t="str">
        <f t="shared" si="36"/>
        <v/>
      </c>
      <c r="AD404" s="170" t="str">
        <f t="shared" si="37"/>
        <v/>
      </c>
    </row>
    <row r="405" spans="1:30" s="170" customFormat="1" ht="20.399999999999999">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34"/>
        <v/>
      </c>
      <c r="T405" s="155" t="str">
        <f ca="1">IF(B405="","",IF(ISERROR(MATCH($J405,SorP!$B$1:$B$6226,0)),"",INDIRECT("'SorP'!$A$"&amp;MATCH($S405&amp;$J405,SorP!C:C,0))))</f>
        <v/>
      </c>
      <c r="U405" s="168"/>
      <c r="V405" s="169" t="e">
        <f>IF(C405="",NA(),MATCH($B405&amp;$C405,'Smelter Look-up'!$J:$J,0))</f>
        <v>#N/A</v>
      </c>
      <c r="X405" s="170">
        <f t="shared" ca="1" si="33"/>
        <v>0</v>
      </c>
      <c r="AB405" s="313" t="str">
        <f t="shared" si="35"/>
        <v/>
      </c>
      <c r="AC405" s="170" t="str">
        <f t="shared" si="36"/>
        <v/>
      </c>
      <c r="AD405" s="170" t="str">
        <f t="shared" si="37"/>
        <v/>
      </c>
    </row>
    <row r="406" spans="1:30" s="170" customFormat="1" ht="20.399999999999999">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34"/>
        <v/>
      </c>
      <c r="T406" s="155" t="str">
        <f ca="1">IF(B406="","",IF(ISERROR(MATCH($J406,SorP!$B$1:$B$6226,0)),"",INDIRECT("'SorP'!$A$"&amp;MATCH($S406&amp;$J406,SorP!C:C,0))))</f>
        <v/>
      </c>
      <c r="U406" s="168"/>
      <c r="V406" s="169" t="e">
        <f>IF(C406="",NA(),MATCH($B406&amp;$C406,'Smelter Look-up'!$J:$J,0))</f>
        <v>#N/A</v>
      </c>
      <c r="X406" s="170">
        <f t="shared" ca="1" si="33"/>
        <v>0</v>
      </c>
      <c r="AB406" s="313" t="str">
        <f t="shared" si="35"/>
        <v/>
      </c>
      <c r="AC406" s="170" t="str">
        <f t="shared" si="36"/>
        <v/>
      </c>
      <c r="AD406" s="170" t="str">
        <f t="shared" si="37"/>
        <v/>
      </c>
    </row>
    <row r="407" spans="1:30" s="170" customFormat="1" ht="20.399999999999999">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34"/>
        <v/>
      </c>
      <c r="T407" s="155" t="str">
        <f ca="1">IF(B407="","",IF(ISERROR(MATCH($J407,SorP!$B$1:$B$6226,0)),"",INDIRECT("'SorP'!$A$"&amp;MATCH($S407&amp;$J407,SorP!C:C,0))))</f>
        <v/>
      </c>
      <c r="U407" s="168"/>
      <c r="V407" s="169" t="e">
        <f>IF(C407="",NA(),MATCH($B407&amp;$C407,'Smelter Look-up'!$J:$J,0))</f>
        <v>#N/A</v>
      </c>
      <c r="X407" s="170">
        <f t="shared" ca="1" si="33"/>
        <v>0</v>
      </c>
      <c r="AB407" s="313" t="str">
        <f t="shared" si="35"/>
        <v/>
      </c>
      <c r="AC407" s="170" t="str">
        <f t="shared" si="36"/>
        <v/>
      </c>
      <c r="AD407" s="170" t="str">
        <f t="shared" si="37"/>
        <v/>
      </c>
    </row>
    <row r="408" spans="1:30" s="170" customFormat="1" ht="20.399999999999999">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34"/>
        <v/>
      </c>
      <c r="T408" s="155" t="str">
        <f ca="1">IF(B408="","",IF(ISERROR(MATCH($J408,SorP!$B$1:$B$6226,0)),"",INDIRECT("'SorP'!$A$"&amp;MATCH($S408&amp;$J408,SorP!C:C,0))))</f>
        <v/>
      </c>
      <c r="U408" s="168"/>
      <c r="V408" s="169" t="e">
        <f>IF(C408="",NA(),MATCH($B408&amp;$C408,'Smelter Look-up'!$J:$J,0))</f>
        <v>#N/A</v>
      </c>
      <c r="X408" s="170">
        <f t="shared" ca="1" si="33"/>
        <v>0</v>
      </c>
      <c r="AB408" s="313" t="str">
        <f t="shared" si="35"/>
        <v/>
      </c>
      <c r="AC408" s="170" t="str">
        <f t="shared" si="36"/>
        <v/>
      </c>
      <c r="AD408" s="170" t="str">
        <f t="shared" si="37"/>
        <v/>
      </c>
    </row>
    <row r="409" spans="1:30" s="170" customFormat="1" ht="20.399999999999999">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34"/>
        <v/>
      </c>
      <c r="T409" s="155" t="str">
        <f ca="1">IF(B409="","",IF(ISERROR(MATCH($J409,SorP!$B$1:$B$6226,0)),"",INDIRECT("'SorP'!$A$"&amp;MATCH($S409&amp;$J409,SorP!C:C,0))))</f>
        <v/>
      </c>
      <c r="U409" s="168"/>
      <c r="V409" s="169" t="e">
        <f>IF(C409="",NA(),MATCH($B409&amp;$C409,'Smelter Look-up'!$J:$J,0))</f>
        <v>#N/A</v>
      </c>
      <c r="X409" s="170">
        <f t="shared" ca="1" si="33"/>
        <v>0</v>
      </c>
      <c r="AB409" s="313" t="str">
        <f t="shared" si="35"/>
        <v/>
      </c>
      <c r="AC409" s="170" t="str">
        <f t="shared" si="36"/>
        <v/>
      </c>
      <c r="AD409" s="170" t="str">
        <f t="shared" si="37"/>
        <v/>
      </c>
    </row>
    <row r="410" spans="1:30" s="170" customFormat="1" ht="20.399999999999999">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34"/>
        <v/>
      </c>
      <c r="T410" s="155" t="str">
        <f ca="1">IF(B410="","",IF(ISERROR(MATCH($J410,SorP!$B$1:$B$6226,0)),"",INDIRECT("'SorP'!$A$"&amp;MATCH($S410&amp;$J410,SorP!C:C,0))))</f>
        <v/>
      </c>
      <c r="U410" s="168"/>
      <c r="V410" s="169" t="e">
        <f>IF(C410="",NA(),MATCH($B410&amp;$C410,'Smelter Look-up'!$J:$J,0))</f>
        <v>#N/A</v>
      </c>
      <c r="X410" s="170">
        <f t="shared" ca="1" si="33"/>
        <v>0</v>
      </c>
      <c r="AB410" s="313" t="str">
        <f t="shared" si="35"/>
        <v/>
      </c>
      <c r="AC410" s="170" t="str">
        <f t="shared" si="36"/>
        <v/>
      </c>
      <c r="AD410" s="170" t="str">
        <f t="shared" si="37"/>
        <v/>
      </c>
    </row>
    <row r="411" spans="1:30" s="170" customFormat="1" ht="20.399999999999999">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34"/>
        <v/>
      </c>
      <c r="T411" s="155" t="str">
        <f ca="1">IF(B411="","",IF(ISERROR(MATCH($J411,SorP!$B$1:$B$6226,0)),"",INDIRECT("'SorP'!$A$"&amp;MATCH($S411&amp;$J411,SorP!C:C,0))))</f>
        <v/>
      </c>
      <c r="U411" s="168"/>
      <c r="V411" s="169" t="e">
        <f>IF(C411="",NA(),MATCH($B411&amp;$C411,'Smelter Look-up'!$J:$J,0))</f>
        <v>#N/A</v>
      </c>
      <c r="X411" s="170">
        <f t="shared" ca="1" si="33"/>
        <v>0</v>
      </c>
      <c r="AB411" s="313" t="str">
        <f t="shared" si="35"/>
        <v/>
      </c>
      <c r="AC411" s="170" t="str">
        <f t="shared" si="36"/>
        <v/>
      </c>
      <c r="AD411" s="170" t="str">
        <f t="shared" si="37"/>
        <v/>
      </c>
    </row>
    <row r="412" spans="1:30" s="170" customFormat="1" ht="20.399999999999999">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34"/>
        <v/>
      </c>
      <c r="T412" s="155" t="str">
        <f ca="1">IF(B412="","",IF(ISERROR(MATCH($J412,SorP!$B$1:$B$6226,0)),"",INDIRECT("'SorP'!$A$"&amp;MATCH($S412&amp;$J412,SorP!C:C,0))))</f>
        <v/>
      </c>
      <c r="U412" s="168"/>
      <c r="V412" s="169" t="e">
        <f>IF(C412="",NA(),MATCH($B412&amp;$C412,'Smelter Look-up'!$J:$J,0))</f>
        <v>#N/A</v>
      </c>
      <c r="X412" s="170">
        <f t="shared" ca="1" si="33"/>
        <v>0</v>
      </c>
      <c r="AB412" s="313" t="str">
        <f t="shared" si="35"/>
        <v/>
      </c>
      <c r="AC412" s="170" t="str">
        <f t="shared" si="36"/>
        <v/>
      </c>
      <c r="AD412" s="170" t="str">
        <f t="shared" si="37"/>
        <v/>
      </c>
    </row>
    <row r="413" spans="1:30" s="170" customFormat="1" ht="20.399999999999999">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34"/>
        <v/>
      </c>
      <c r="T413" s="155" t="str">
        <f ca="1">IF(B413="","",IF(ISERROR(MATCH($J413,SorP!$B$1:$B$6226,0)),"",INDIRECT("'SorP'!$A$"&amp;MATCH($S413&amp;$J413,SorP!C:C,0))))</f>
        <v/>
      </c>
      <c r="U413" s="168"/>
      <c r="V413" s="169" t="e">
        <f>IF(C413="",NA(),MATCH($B413&amp;$C413,'Smelter Look-up'!$J:$J,0))</f>
        <v>#N/A</v>
      </c>
      <c r="X413" s="170">
        <f t="shared" ca="1" si="33"/>
        <v>0</v>
      </c>
      <c r="AB413" s="313" t="str">
        <f t="shared" si="35"/>
        <v/>
      </c>
      <c r="AC413" s="170" t="str">
        <f t="shared" si="36"/>
        <v/>
      </c>
      <c r="AD413" s="170" t="str">
        <f t="shared" si="37"/>
        <v/>
      </c>
    </row>
    <row r="414" spans="1:30" s="170" customFormat="1" ht="20.399999999999999">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34"/>
        <v/>
      </c>
      <c r="T414" s="155" t="str">
        <f ca="1">IF(B414="","",IF(ISERROR(MATCH($J414,SorP!$B$1:$B$6226,0)),"",INDIRECT("'SorP'!$A$"&amp;MATCH($S414&amp;$J414,SorP!C:C,0))))</f>
        <v/>
      </c>
      <c r="U414" s="168"/>
      <c r="V414" s="169" t="e">
        <f>IF(C414="",NA(),MATCH($B414&amp;$C414,'Smelter Look-up'!$J:$J,0))</f>
        <v>#N/A</v>
      </c>
      <c r="X414" s="170">
        <f t="shared" ca="1" si="33"/>
        <v>0</v>
      </c>
      <c r="AB414" s="313" t="str">
        <f t="shared" si="35"/>
        <v/>
      </c>
      <c r="AC414" s="170" t="str">
        <f t="shared" si="36"/>
        <v/>
      </c>
      <c r="AD414" s="170" t="str">
        <f t="shared" si="37"/>
        <v/>
      </c>
    </row>
    <row r="415" spans="1:30" s="170" customFormat="1" ht="20.399999999999999">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34"/>
        <v/>
      </c>
      <c r="T415" s="155" t="str">
        <f ca="1">IF(B415="","",IF(ISERROR(MATCH($J415,SorP!$B$1:$B$6226,0)),"",INDIRECT("'SorP'!$A$"&amp;MATCH($S415&amp;$J415,SorP!C:C,0))))</f>
        <v/>
      </c>
      <c r="U415" s="168"/>
      <c r="V415" s="169" t="e">
        <f>IF(C415="",NA(),MATCH($B415&amp;$C415,'Smelter Look-up'!$J:$J,0))</f>
        <v>#N/A</v>
      </c>
      <c r="X415" s="170">
        <f t="shared" ca="1" si="33"/>
        <v>0</v>
      </c>
      <c r="AB415" s="313" t="str">
        <f t="shared" si="35"/>
        <v/>
      </c>
      <c r="AC415" s="170" t="str">
        <f t="shared" si="36"/>
        <v/>
      </c>
      <c r="AD415" s="170" t="str">
        <f t="shared" si="37"/>
        <v/>
      </c>
    </row>
    <row r="416" spans="1:30" s="170" customFormat="1" ht="20.399999999999999">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34"/>
        <v/>
      </c>
      <c r="T416" s="155" t="str">
        <f ca="1">IF(B416="","",IF(ISERROR(MATCH($J416,SorP!$B$1:$B$6226,0)),"",INDIRECT("'SorP'!$A$"&amp;MATCH($S416&amp;$J416,SorP!C:C,0))))</f>
        <v/>
      </c>
      <c r="U416" s="168"/>
      <c r="V416" s="169" t="e">
        <f>IF(C416="",NA(),MATCH($B416&amp;$C416,'Smelter Look-up'!$J:$J,0))</f>
        <v>#N/A</v>
      </c>
      <c r="X416" s="170">
        <f t="shared" ca="1" si="33"/>
        <v>0</v>
      </c>
      <c r="AB416" s="313" t="str">
        <f t="shared" si="35"/>
        <v/>
      </c>
      <c r="AC416" s="170" t="str">
        <f t="shared" si="36"/>
        <v/>
      </c>
      <c r="AD416" s="170" t="str">
        <f t="shared" si="37"/>
        <v/>
      </c>
    </row>
    <row r="417" spans="1:30" s="170" customFormat="1" ht="20.399999999999999">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34"/>
        <v/>
      </c>
      <c r="T417" s="155" t="str">
        <f ca="1">IF(B417="","",IF(ISERROR(MATCH($J417,SorP!$B$1:$B$6226,0)),"",INDIRECT("'SorP'!$A$"&amp;MATCH($S417&amp;$J417,SorP!C:C,0))))</f>
        <v/>
      </c>
      <c r="U417" s="168"/>
      <c r="V417" s="169" t="e">
        <f>IF(C417="",NA(),MATCH($B417&amp;$C417,'Smelter Look-up'!$J:$J,0))</f>
        <v>#N/A</v>
      </c>
      <c r="X417" s="170">
        <f t="shared" ca="1" si="33"/>
        <v>0</v>
      </c>
      <c r="AB417" s="313" t="str">
        <f t="shared" si="35"/>
        <v/>
      </c>
      <c r="AC417" s="170" t="str">
        <f t="shared" si="36"/>
        <v/>
      </c>
      <c r="AD417" s="170" t="str">
        <f t="shared" si="37"/>
        <v/>
      </c>
    </row>
    <row r="418" spans="1:30" s="170" customFormat="1" ht="20.399999999999999">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34"/>
        <v/>
      </c>
      <c r="T418" s="155" t="str">
        <f ca="1">IF(B418="","",IF(ISERROR(MATCH($J418,SorP!$B$1:$B$6226,0)),"",INDIRECT("'SorP'!$A$"&amp;MATCH($S418&amp;$J418,SorP!C:C,0))))</f>
        <v/>
      </c>
      <c r="U418" s="168"/>
      <c r="V418" s="169" t="e">
        <f>IF(C418="",NA(),MATCH($B418&amp;$C418,'Smelter Look-up'!$J:$J,0))</f>
        <v>#N/A</v>
      </c>
      <c r="X418" s="170">
        <f t="shared" ca="1" si="33"/>
        <v>0</v>
      </c>
      <c r="AB418" s="313" t="str">
        <f t="shared" si="35"/>
        <v/>
      </c>
      <c r="AC418" s="170" t="str">
        <f t="shared" si="36"/>
        <v/>
      </c>
      <c r="AD418" s="170" t="str">
        <f t="shared" si="37"/>
        <v/>
      </c>
    </row>
    <row r="419" spans="1:30" s="170" customFormat="1" ht="20.399999999999999">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34"/>
        <v/>
      </c>
      <c r="T419" s="155" t="str">
        <f ca="1">IF(B419="","",IF(ISERROR(MATCH($J419,SorP!$B$1:$B$6226,0)),"",INDIRECT("'SorP'!$A$"&amp;MATCH($S419&amp;$J419,SorP!C:C,0))))</f>
        <v/>
      </c>
      <c r="U419" s="168"/>
      <c r="V419" s="169" t="e">
        <f>IF(C419="",NA(),MATCH($B419&amp;$C419,'Smelter Look-up'!$J:$J,0))</f>
        <v>#N/A</v>
      </c>
      <c r="X419" s="170">
        <f t="shared" ca="1" si="33"/>
        <v>0</v>
      </c>
      <c r="AB419" s="313" t="str">
        <f t="shared" si="35"/>
        <v/>
      </c>
      <c r="AC419" s="170" t="str">
        <f t="shared" si="36"/>
        <v/>
      </c>
      <c r="AD419" s="170" t="str">
        <f t="shared" si="37"/>
        <v/>
      </c>
    </row>
    <row r="420" spans="1:30" s="170" customFormat="1" ht="20.399999999999999">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34"/>
        <v/>
      </c>
      <c r="T420" s="155" t="str">
        <f ca="1">IF(B420="","",IF(ISERROR(MATCH($J420,SorP!$B$1:$B$6226,0)),"",INDIRECT("'SorP'!$A$"&amp;MATCH($S420&amp;$J420,SorP!C:C,0))))</f>
        <v/>
      </c>
      <c r="U420" s="168"/>
      <c r="V420" s="169" t="e">
        <f>IF(C420="",NA(),MATCH($B420&amp;$C420,'Smelter Look-up'!$J:$J,0))</f>
        <v>#N/A</v>
      </c>
      <c r="X420" s="170">
        <f t="shared" ca="1" si="33"/>
        <v>0</v>
      </c>
      <c r="AB420" s="313" t="str">
        <f t="shared" si="35"/>
        <v/>
      </c>
      <c r="AC420" s="170" t="str">
        <f t="shared" si="36"/>
        <v/>
      </c>
      <c r="AD420" s="170" t="str">
        <f t="shared" si="37"/>
        <v/>
      </c>
    </row>
    <row r="421" spans="1:30" s="170" customFormat="1" ht="20.399999999999999">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34"/>
        <v/>
      </c>
      <c r="T421" s="155" t="str">
        <f ca="1">IF(B421="","",IF(ISERROR(MATCH($J421,SorP!$B$1:$B$6226,0)),"",INDIRECT("'SorP'!$A$"&amp;MATCH($S421&amp;$J421,SorP!C:C,0))))</f>
        <v/>
      </c>
      <c r="U421" s="168"/>
      <c r="V421" s="169" t="e">
        <f>IF(C421="",NA(),MATCH($B421&amp;$C421,'Smelter Look-up'!$J:$J,0))</f>
        <v>#N/A</v>
      </c>
      <c r="X421" s="170">
        <f t="shared" ca="1" si="33"/>
        <v>0</v>
      </c>
      <c r="AB421" s="313" t="str">
        <f t="shared" si="35"/>
        <v/>
      </c>
      <c r="AC421" s="170" t="str">
        <f t="shared" si="36"/>
        <v/>
      </c>
      <c r="AD421" s="170" t="str">
        <f t="shared" si="37"/>
        <v/>
      </c>
    </row>
    <row r="422" spans="1:30" s="170" customFormat="1" ht="20.399999999999999">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34"/>
        <v/>
      </c>
      <c r="T422" s="155" t="str">
        <f ca="1">IF(B422="","",IF(ISERROR(MATCH($J422,SorP!$B$1:$B$6226,0)),"",INDIRECT("'SorP'!$A$"&amp;MATCH($S422&amp;$J422,SorP!C:C,0))))</f>
        <v/>
      </c>
      <c r="U422" s="168"/>
      <c r="V422" s="169" t="e">
        <f>IF(C422="",NA(),MATCH($B422&amp;$C422,'Smelter Look-up'!$J:$J,0))</f>
        <v>#N/A</v>
      </c>
      <c r="X422" s="170">
        <f t="shared" ca="1" si="33"/>
        <v>0</v>
      </c>
      <c r="AB422" s="313" t="str">
        <f t="shared" si="35"/>
        <v/>
      </c>
      <c r="AC422" s="170" t="str">
        <f t="shared" si="36"/>
        <v/>
      </c>
      <c r="AD422" s="170" t="str">
        <f t="shared" si="37"/>
        <v/>
      </c>
    </row>
    <row r="423" spans="1:30" s="170" customFormat="1" ht="20.399999999999999">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34"/>
        <v/>
      </c>
      <c r="T423" s="155" t="str">
        <f ca="1">IF(B423="","",IF(ISERROR(MATCH($J423,SorP!$B$1:$B$6226,0)),"",INDIRECT("'SorP'!$A$"&amp;MATCH($S423&amp;$J423,SorP!C:C,0))))</f>
        <v/>
      </c>
      <c r="U423" s="168"/>
      <c r="V423" s="169" t="e">
        <f>IF(C423="",NA(),MATCH($B423&amp;$C423,'Smelter Look-up'!$J:$J,0))</f>
        <v>#N/A</v>
      </c>
      <c r="X423" s="170">
        <f t="shared" ca="1" si="33"/>
        <v>0</v>
      </c>
      <c r="AB423" s="313" t="str">
        <f t="shared" si="35"/>
        <v/>
      </c>
      <c r="AC423" s="170" t="str">
        <f t="shared" si="36"/>
        <v/>
      </c>
      <c r="AD423" s="170" t="str">
        <f t="shared" si="37"/>
        <v/>
      </c>
    </row>
    <row r="424" spans="1:30" s="170" customFormat="1" ht="20.399999999999999">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34"/>
        <v/>
      </c>
      <c r="T424" s="155" t="str">
        <f ca="1">IF(B424="","",IF(ISERROR(MATCH($J424,SorP!$B$1:$B$6226,0)),"",INDIRECT("'SorP'!$A$"&amp;MATCH($S424&amp;$J424,SorP!C:C,0))))</f>
        <v/>
      </c>
      <c r="U424" s="168"/>
      <c r="V424" s="169" t="e">
        <f>IF(C424="",NA(),MATCH($B424&amp;$C424,'Smelter Look-up'!$J:$J,0))</f>
        <v>#N/A</v>
      </c>
      <c r="X424" s="170">
        <f t="shared" ca="1" si="33"/>
        <v>0</v>
      </c>
      <c r="AB424" s="313" t="str">
        <f t="shared" si="35"/>
        <v/>
      </c>
      <c r="AC424" s="170" t="str">
        <f t="shared" si="36"/>
        <v/>
      </c>
      <c r="AD424" s="170" t="str">
        <f t="shared" si="37"/>
        <v/>
      </c>
    </row>
    <row r="425" spans="1:30" s="170" customFormat="1" ht="20.399999999999999">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34"/>
        <v/>
      </c>
      <c r="T425" s="155" t="str">
        <f ca="1">IF(B425="","",IF(ISERROR(MATCH($J425,SorP!$B$1:$B$6226,0)),"",INDIRECT("'SorP'!$A$"&amp;MATCH($S425&amp;$J425,SorP!C:C,0))))</f>
        <v/>
      </c>
      <c r="U425" s="168"/>
      <c r="V425" s="169" t="e">
        <f>IF(C425="",NA(),MATCH($B425&amp;$C425,'Smelter Look-up'!$J:$J,0))</f>
        <v>#N/A</v>
      </c>
      <c r="X425" s="170">
        <f t="shared" ca="1" si="33"/>
        <v>0</v>
      </c>
      <c r="AB425" s="313" t="str">
        <f t="shared" si="35"/>
        <v/>
      </c>
      <c r="AC425" s="170" t="str">
        <f t="shared" si="36"/>
        <v/>
      </c>
      <c r="AD425" s="170" t="str">
        <f t="shared" si="37"/>
        <v/>
      </c>
    </row>
    <row r="426" spans="1:30" s="170" customFormat="1" ht="20.399999999999999">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34"/>
        <v/>
      </c>
      <c r="T426" s="155" t="str">
        <f ca="1">IF(B426="","",IF(ISERROR(MATCH($J426,SorP!$B$1:$B$6226,0)),"",INDIRECT("'SorP'!$A$"&amp;MATCH($S426&amp;$J426,SorP!C:C,0))))</f>
        <v/>
      </c>
      <c r="U426" s="168"/>
      <c r="V426" s="169" t="e">
        <f>IF(C426="",NA(),MATCH($B426&amp;$C426,'Smelter Look-up'!$J:$J,0))</f>
        <v>#N/A</v>
      </c>
      <c r="X426" s="170">
        <f t="shared" ca="1" si="33"/>
        <v>0</v>
      </c>
      <c r="AB426" s="313" t="str">
        <f t="shared" si="35"/>
        <v/>
      </c>
      <c r="AC426" s="170" t="str">
        <f t="shared" si="36"/>
        <v/>
      </c>
      <c r="AD426" s="170" t="str">
        <f t="shared" si="37"/>
        <v/>
      </c>
    </row>
    <row r="427" spans="1:30" s="170" customFormat="1" ht="20.399999999999999">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34"/>
        <v/>
      </c>
      <c r="T427" s="155" t="str">
        <f ca="1">IF(B427="","",IF(ISERROR(MATCH($J427,SorP!$B$1:$B$6226,0)),"",INDIRECT("'SorP'!$A$"&amp;MATCH($S427&amp;$J427,SorP!C:C,0))))</f>
        <v/>
      </c>
      <c r="U427" s="168"/>
      <c r="V427" s="169" t="e">
        <f>IF(C427="",NA(),MATCH($B427&amp;$C427,'Smelter Look-up'!$J:$J,0))</f>
        <v>#N/A</v>
      </c>
      <c r="X427" s="170">
        <f t="shared" ca="1" si="33"/>
        <v>0</v>
      </c>
      <c r="AB427" s="313" t="str">
        <f t="shared" si="35"/>
        <v/>
      </c>
      <c r="AC427" s="170" t="str">
        <f t="shared" si="36"/>
        <v/>
      </c>
      <c r="AD427" s="170" t="str">
        <f t="shared" si="37"/>
        <v/>
      </c>
    </row>
    <row r="428" spans="1:30" s="170" customFormat="1" ht="20.399999999999999">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34"/>
        <v/>
      </c>
      <c r="T428" s="155" t="str">
        <f ca="1">IF(B428="","",IF(ISERROR(MATCH($J428,SorP!$B$1:$B$6226,0)),"",INDIRECT("'SorP'!$A$"&amp;MATCH($S428&amp;$J428,SorP!C:C,0))))</f>
        <v/>
      </c>
      <c r="U428" s="168"/>
      <c r="V428" s="169" t="e">
        <f>IF(C428="",NA(),MATCH($B428&amp;$C428,'Smelter Look-up'!$J:$J,0))</f>
        <v>#N/A</v>
      </c>
      <c r="X428" s="170">
        <f t="shared" ca="1" si="33"/>
        <v>0</v>
      </c>
      <c r="AB428" s="313" t="str">
        <f t="shared" si="35"/>
        <v/>
      </c>
      <c r="AC428" s="170" t="str">
        <f t="shared" si="36"/>
        <v/>
      </c>
      <c r="AD428" s="170" t="str">
        <f t="shared" si="37"/>
        <v/>
      </c>
    </row>
    <row r="429" spans="1:30" s="170" customFormat="1" ht="20.399999999999999">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34"/>
        <v/>
      </c>
      <c r="T429" s="155" t="str">
        <f ca="1">IF(B429="","",IF(ISERROR(MATCH($J429,SorP!$B$1:$B$6226,0)),"",INDIRECT("'SorP'!$A$"&amp;MATCH($S429&amp;$J429,SorP!C:C,0))))</f>
        <v/>
      </c>
      <c r="U429" s="168"/>
      <c r="V429" s="169" t="e">
        <f>IF(C429="",NA(),MATCH($B429&amp;$C429,'Smelter Look-up'!$J:$J,0))</f>
        <v>#N/A</v>
      </c>
      <c r="X429" s="170">
        <f t="shared" ca="1" si="33"/>
        <v>0</v>
      </c>
      <c r="AB429" s="313" t="str">
        <f t="shared" si="35"/>
        <v/>
      </c>
      <c r="AC429" s="170" t="str">
        <f t="shared" si="36"/>
        <v/>
      </c>
      <c r="AD429" s="170" t="str">
        <f t="shared" si="37"/>
        <v/>
      </c>
    </row>
    <row r="430" spans="1:30" s="170" customFormat="1" ht="20.399999999999999">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34"/>
        <v/>
      </c>
      <c r="T430" s="155" t="str">
        <f ca="1">IF(B430="","",IF(ISERROR(MATCH($J430,SorP!$B$1:$B$6226,0)),"",INDIRECT("'SorP'!$A$"&amp;MATCH($S430&amp;$J430,SorP!C:C,0))))</f>
        <v/>
      </c>
      <c r="U430" s="168"/>
      <c r="V430" s="169" t="e">
        <f>IF(C430="",NA(),MATCH($B430&amp;$C430,'Smelter Look-up'!$J:$J,0))</f>
        <v>#N/A</v>
      </c>
      <c r="X430" s="170">
        <f t="shared" ca="1" si="33"/>
        <v>0</v>
      </c>
      <c r="AB430" s="313" t="str">
        <f t="shared" si="35"/>
        <v/>
      </c>
      <c r="AC430" s="170" t="str">
        <f t="shared" si="36"/>
        <v/>
      </c>
      <c r="AD430" s="170" t="str">
        <f t="shared" si="37"/>
        <v/>
      </c>
    </row>
    <row r="431" spans="1:30" s="170" customFormat="1" ht="20.399999999999999">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34"/>
        <v/>
      </c>
      <c r="T431" s="155" t="str">
        <f ca="1">IF(B431="","",IF(ISERROR(MATCH($J431,SorP!$B$1:$B$6226,0)),"",INDIRECT("'SorP'!$A$"&amp;MATCH($S431&amp;$J431,SorP!C:C,0))))</f>
        <v/>
      </c>
      <c r="U431" s="168"/>
      <c r="V431" s="169" t="e">
        <f>IF(C431="",NA(),MATCH($B431&amp;$C431,'Smelter Look-up'!$J:$J,0))</f>
        <v>#N/A</v>
      </c>
      <c r="X431" s="170">
        <f t="shared" ca="1" si="33"/>
        <v>0</v>
      </c>
      <c r="AB431" s="313" t="str">
        <f t="shared" si="35"/>
        <v/>
      </c>
      <c r="AC431" s="170" t="str">
        <f t="shared" si="36"/>
        <v/>
      </c>
      <c r="AD431" s="170" t="str">
        <f t="shared" si="37"/>
        <v/>
      </c>
    </row>
    <row r="432" spans="1:30" s="170" customFormat="1" ht="20.399999999999999">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34"/>
        <v/>
      </c>
      <c r="T432" s="155" t="str">
        <f ca="1">IF(B432="","",IF(ISERROR(MATCH($J432,SorP!$B$1:$B$6226,0)),"",INDIRECT("'SorP'!$A$"&amp;MATCH($S432&amp;$J432,SorP!C:C,0))))</f>
        <v/>
      </c>
      <c r="U432" s="168"/>
      <c r="V432" s="169" t="e">
        <f>IF(C432="",NA(),MATCH($B432&amp;$C432,'Smelter Look-up'!$J:$J,0))</f>
        <v>#N/A</v>
      </c>
      <c r="X432" s="170">
        <f t="shared" ca="1" si="33"/>
        <v>0</v>
      </c>
      <c r="AB432" s="313" t="str">
        <f t="shared" si="35"/>
        <v/>
      </c>
      <c r="AC432" s="170" t="str">
        <f t="shared" si="36"/>
        <v/>
      </c>
      <c r="AD432" s="170" t="str">
        <f t="shared" si="37"/>
        <v/>
      </c>
    </row>
    <row r="433" spans="1:30" s="170" customFormat="1" ht="20.399999999999999">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34"/>
        <v/>
      </c>
      <c r="T433" s="155" t="str">
        <f ca="1">IF(B433="","",IF(ISERROR(MATCH($J433,SorP!$B$1:$B$6226,0)),"",INDIRECT("'SorP'!$A$"&amp;MATCH($S433&amp;$J433,SorP!C:C,0))))</f>
        <v/>
      </c>
      <c r="U433" s="168"/>
      <c r="V433" s="169" t="e">
        <f>IF(C433="",NA(),MATCH($B433&amp;$C433,'Smelter Look-up'!$J:$J,0))</f>
        <v>#N/A</v>
      </c>
      <c r="X433" s="170">
        <f t="shared" ca="1" si="33"/>
        <v>0</v>
      </c>
      <c r="AB433" s="313" t="str">
        <f t="shared" si="35"/>
        <v/>
      </c>
      <c r="AC433" s="170" t="str">
        <f t="shared" si="36"/>
        <v/>
      </c>
      <c r="AD433" s="170" t="str">
        <f t="shared" si="37"/>
        <v/>
      </c>
    </row>
    <row r="434" spans="1:30" s="170" customFormat="1" ht="20.399999999999999">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34"/>
        <v/>
      </c>
      <c r="T434" s="155" t="str">
        <f ca="1">IF(B434="","",IF(ISERROR(MATCH($J434,SorP!$B$1:$B$6226,0)),"",INDIRECT("'SorP'!$A$"&amp;MATCH($S434&amp;$J434,SorP!C:C,0))))</f>
        <v/>
      </c>
      <c r="U434" s="168"/>
      <c r="V434" s="169" t="e">
        <f>IF(C434="",NA(),MATCH($B434&amp;$C434,'Smelter Look-up'!$J:$J,0))</f>
        <v>#N/A</v>
      </c>
      <c r="X434" s="170">
        <f t="shared" ca="1" si="33"/>
        <v>0</v>
      </c>
      <c r="AB434" s="313" t="str">
        <f t="shared" si="35"/>
        <v/>
      </c>
      <c r="AC434" s="170" t="str">
        <f t="shared" si="36"/>
        <v/>
      </c>
      <c r="AD434" s="170" t="str">
        <f t="shared" si="37"/>
        <v/>
      </c>
    </row>
    <row r="435" spans="1:30" s="170" customFormat="1" ht="20.399999999999999">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34"/>
        <v/>
      </c>
      <c r="T435" s="155" t="str">
        <f ca="1">IF(B435="","",IF(ISERROR(MATCH($J435,SorP!$B$1:$B$6226,0)),"",INDIRECT("'SorP'!$A$"&amp;MATCH($S435&amp;$J435,SorP!C:C,0))))</f>
        <v/>
      </c>
      <c r="U435" s="168"/>
      <c r="V435" s="169" t="e">
        <f>IF(C435="",NA(),MATCH($B435&amp;$C435,'Smelter Look-up'!$J:$J,0))</f>
        <v>#N/A</v>
      </c>
      <c r="X435" s="170">
        <f t="shared" ca="1" si="33"/>
        <v>0</v>
      </c>
      <c r="AB435" s="313" t="str">
        <f t="shared" si="35"/>
        <v/>
      </c>
      <c r="AC435" s="170" t="str">
        <f t="shared" si="36"/>
        <v/>
      </c>
      <c r="AD435" s="170" t="str">
        <f t="shared" si="37"/>
        <v/>
      </c>
    </row>
    <row r="436" spans="1:30" s="170" customFormat="1" ht="20.399999999999999">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34"/>
        <v/>
      </c>
      <c r="T436" s="155" t="str">
        <f ca="1">IF(B436="","",IF(ISERROR(MATCH($J436,SorP!$B$1:$B$6226,0)),"",INDIRECT("'SorP'!$A$"&amp;MATCH($S436&amp;$J436,SorP!C:C,0))))</f>
        <v/>
      </c>
      <c r="U436" s="168"/>
      <c r="V436" s="169" t="e">
        <f>IF(C436="",NA(),MATCH($B436&amp;$C436,'Smelter Look-up'!$J:$J,0))</f>
        <v>#N/A</v>
      </c>
      <c r="X436" s="170">
        <f t="shared" ca="1" si="33"/>
        <v>0</v>
      </c>
      <c r="AB436" s="313" t="str">
        <f t="shared" si="35"/>
        <v/>
      </c>
      <c r="AC436" s="170" t="str">
        <f t="shared" si="36"/>
        <v/>
      </c>
      <c r="AD436" s="170" t="str">
        <f t="shared" si="37"/>
        <v/>
      </c>
    </row>
    <row r="437" spans="1:30" s="170" customFormat="1" ht="20.399999999999999">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34"/>
        <v/>
      </c>
      <c r="T437" s="155" t="str">
        <f ca="1">IF(B437="","",IF(ISERROR(MATCH($J437,SorP!$B$1:$B$6226,0)),"",INDIRECT("'SorP'!$A$"&amp;MATCH($S437&amp;$J437,SorP!C:C,0))))</f>
        <v/>
      </c>
      <c r="U437" s="168"/>
      <c r="V437" s="169" t="e">
        <f>IF(C437="",NA(),MATCH($B437&amp;$C437,'Smelter Look-up'!$J:$J,0))</f>
        <v>#N/A</v>
      </c>
      <c r="X437" s="170">
        <f t="shared" ca="1" si="33"/>
        <v>0</v>
      </c>
      <c r="AB437" s="313" t="str">
        <f t="shared" si="35"/>
        <v/>
      </c>
      <c r="AC437" s="170" t="str">
        <f t="shared" si="36"/>
        <v/>
      </c>
      <c r="AD437" s="170" t="str">
        <f t="shared" si="37"/>
        <v/>
      </c>
    </row>
    <row r="438" spans="1:30" s="170" customFormat="1" ht="20.399999999999999">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34"/>
        <v/>
      </c>
      <c r="T438" s="155" t="str">
        <f ca="1">IF(B438="","",IF(ISERROR(MATCH($J438,SorP!$B$1:$B$6226,0)),"",INDIRECT("'SorP'!$A$"&amp;MATCH($S438&amp;$J438,SorP!C:C,0))))</f>
        <v/>
      </c>
      <c r="U438" s="168"/>
      <c r="V438" s="169" t="e">
        <f>IF(C438="",NA(),MATCH($B438&amp;$C438,'Smelter Look-up'!$J:$J,0))</f>
        <v>#N/A</v>
      </c>
      <c r="X438" s="170">
        <f t="shared" ca="1" si="33"/>
        <v>0</v>
      </c>
      <c r="AB438" s="313" t="str">
        <f t="shared" si="35"/>
        <v/>
      </c>
      <c r="AC438" s="170" t="str">
        <f t="shared" si="36"/>
        <v/>
      </c>
      <c r="AD438" s="170" t="str">
        <f t="shared" si="37"/>
        <v/>
      </c>
    </row>
    <row r="439" spans="1:30" s="170" customFormat="1" ht="20.399999999999999">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34"/>
        <v/>
      </c>
      <c r="T439" s="155" t="str">
        <f ca="1">IF(B439="","",IF(ISERROR(MATCH($J439,SorP!$B$1:$B$6226,0)),"",INDIRECT("'SorP'!$A$"&amp;MATCH($S439&amp;$J439,SorP!C:C,0))))</f>
        <v/>
      </c>
      <c r="U439" s="168"/>
      <c r="V439" s="169" t="e">
        <f>IF(C439="",NA(),MATCH($B439&amp;$C439,'Smelter Look-up'!$J:$J,0))</f>
        <v>#N/A</v>
      </c>
      <c r="X439" s="170">
        <f t="shared" ca="1" si="33"/>
        <v>0</v>
      </c>
      <c r="AB439" s="313" t="str">
        <f t="shared" si="35"/>
        <v/>
      </c>
      <c r="AC439" s="170" t="str">
        <f t="shared" si="36"/>
        <v/>
      </c>
      <c r="AD439" s="170" t="str">
        <f t="shared" si="37"/>
        <v/>
      </c>
    </row>
    <row r="440" spans="1:30" s="170" customFormat="1" ht="20.399999999999999">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34"/>
        <v/>
      </c>
      <c r="T440" s="155" t="str">
        <f ca="1">IF(B440="","",IF(ISERROR(MATCH($J440,SorP!$B$1:$B$6226,0)),"",INDIRECT("'SorP'!$A$"&amp;MATCH($S440&amp;$J440,SorP!C:C,0))))</f>
        <v/>
      </c>
      <c r="U440" s="168"/>
      <c r="V440" s="169" t="e">
        <f>IF(C440="",NA(),MATCH($B440&amp;$C440,'Smelter Look-up'!$J:$J,0))</f>
        <v>#N/A</v>
      </c>
      <c r="X440" s="170">
        <f t="shared" ca="1" si="33"/>
        <v>0</v>
      </c>
      <c r="AB440" s="313" t="str">
        <f t="shared" si="35"/>
        <v/>
      </c>
      <c r="AC440" s="170" t="str">
        <f t="shared" si="36"/>
        <v/>
      </c>
      <c r="AD440" s="170" t="str">
        <f t="shared" si="37"/>
        <v/>
      </c>
    </row>
    <row r="441" spans="1:30" s="170" customFormat="1" ht="20.399999999999999">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34"/>
        <v/>
      </c>
      <c r="T441" s="155" t="str">
        <f ca="1">IF(B441="","",IF(ISERROR(MATCH($J441,SorP!$B$1:$B$6226,0)),"",INDIRECT("'SorP'!$A$"&amp;MATCH($S441&amp;$J441,SorP!C:C,0))))</f>
        <v/>
      </c>
      <c r="U441" s="168"/>
      <c r="V441" s="169" t="e">
        <f>IF(C441="",NA(),MATCH($B441&amp;$C441,'Smelter Look-up'!$J:$J,0))</f>
        <v>#N/A</v>
      </c>
      <c r="X441" s="170">
        <f t="shared" ca="1" si="33"/>
        <v>0</v>
      </c>
      <c r="AB441" s="313" t="str">
        <f t="shared" si="35"/>
        <v/>
      </c>
      <c r="AC441" s="170" t="str">
        <f t="shared" si="36"/>
        <v/>
      </c>
      <c r="AD441" s="170" t="str">
        <f t="shared" si="37"/>
        <v/>
      </c>
    </row>
    <row r="442" spans="1:30" s="170" customFormat="1" ht="20.399999999999999">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34"/>
        <v/>
      </c>
      <c r="T442" s="155" t="str">
        <f ca="1">IF(B442="","",IF(ISERROR(MATCH($J442,SorP!$B$1:$B$6226,0)),"",INDIRECT("'SorP'!$A$"&amp;MATCH($S442&amp;$J442,SorP!C:C,0))))</f>
        <v/>
      </c>
      <c r="U442" s="168"/>
      <c r="V442" s="169" t="e">
        <f>IF(C442="",NA(),MATCH($B442&amp;$C442,'Smelter Look-up'!$J:$J,0))</f>
        <v>#N/A</v>
      </c>
      <c r="X442" s="170">
        <f t="shared" ca="1" si="33"/>
        <v>0</v>
      </c>
      <c r="AB442" s="313" t="str">
        <f t="shared" si="35"/>
        <v/>
      </c>
      <c r="AC442" s="170" t="str">
        <f t="shared" si="36"/>
        <v/>
      </c>
      <c r="AD442" s="170" t="str">
        <f t="shared" si="37"/>
        <v/>
      </c>
    </row>
    <row r="443" spans="1:30" s="170" customFormat="1" ht="20.399999999999999">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34"/>
        <v/>
      </c>
      <c r="T443" s="155" t="str">
        <f ca="1">IF(B443="","",IF(ISERROR(MATCH($J443,SorP!$B$1:$B$6226,0)),"",INDIRECT("'SorP'!$A$"&amp;MATCH($S443&amp;$J443,SorP!C:C,0))))</f>
        <v/>
      </c>
      <c r="U443" s="168"/>
      <c r="V443" s="169" t="e">
        <f>IF(C443="",NA(),MATCH($B443&amp;$C443,'Smelter Look-up'!$J:$J,0))</f>
        <v>#N/A</v>
      </c>
      <c r="X443" s="170">
        <f t="shared" ca="1" si="33"/>
        <v>0</v>
      </c>
      <c r="AB443" s="313" t="str">
        <f t="shared" si="35"/>
        <v/>
      </c>
      <c r="AC443" s="170" t="str">
        <f t="shared" si="36"/>
        <v/>
      </c>
      <c r="AD443" s="170" t="str">
        <f t="shared" si="37"/>
        <v/>
      </c>
    </row>
    <row r="444" spans="1:30" s="170" customFormat="1" ht="20.399999999999999">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34"/>
        <v/>
      </c>
      <c r="T444" s="155" t="str">
        <f ca="1">IF(B444="","",IF(ISERROR(MATCH($J444,SorP!$B$1:$B$6226,0)),"",INDIRECT("'SorP'!$A$"&amp;MATCH($S444&amp;$J444,SorP!C:C,0))))</f>
        <v/>
      </c>
      <c r="U444" s="168"/>
      <c r="V444" s="169" t="e">
        <f>IF(C444="",NA(),MATCH($B444&amp;$C444,'Smelter Look-up'!$J:$J,0))</f>
        <v>#N/A</v>
      </c>
      <c r="X444" s="170">
        <f t="shared" ca="1" si="33"/>
        <v>0</v>
      </c>
      <c r="AB444" s="313" t="str">
        <f t="shared" si="35"/>
        <v/>
      </c>
      <c r="AC444" s="170" t="str">
        <f t="shared" si="36"/>
        <v/>
      </c>
      <c r="AD444" s="170" t="str">
        <f t="shared" si="37"/>
        <v/>
      </c>
    </row>
    <row r="445" spans="1:30" s="170" customFormat="1" ht="20.399999999999999">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34"/>
        <v/>
      </c>
      <c r="T445" s="155" t="str">
        <f ca="1">IF(B445="","",IF(ISERROR(MATCH($J445,SorP!$B$1:$B$6226,0)),"",INDIRECT("'SorP'!$A$"&amp;MATCH($S445&amp;$J445,SorP!C:C,0))))</f>
        <v/>
      </c>
      <c r="U445" s="168"/>
      <c r="V445" s="169" t="e">
        <f>IF(C445="",NA(),MATCH($B445&amp;$C445,'Smelter Look-up'!$J:$J,0))</f>
        <v>#N/A</v>
      </c>
      <c r="X445" s="170">
        <f t="shared" ca="1" si="33"/>
        <v>0</v>
      </c>
      <c r="AB445" s="313" t="str">
        <f t="shared" si="35"/>
        <v/>
      </c>
      <c r="AC445" s="170" t="str">
        <f t="shared" si="36"/>
        <v/>
      </c>
      <c r="AD445" s="170" t="str">
        <f t="shared" si="37"/>
        <v/>
      </c>
    </row>
    <row r="446" spans="1:30" s="170" customFormat="1" ht="20.399999999999999">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34"/>
        <v/>
      </c>
      <c r="T446" s="155" t="str">
        <f ca="1">IF(B446="","",IF(ISERROR(MATCH($J446,SorP!$B$1:$B$6226,0)),"",INDIRECT("'SorP'!$A$"&amp;MATCH($S446&amp;$J446,SorP!C:C,0))))</f>
        <v/>
      </c>
      <c r="U446" s="168"/>
      <c r="V446" s="169" t="e">
        <f>IF(C446="",NA(),MATCH($B446&amp;$C446,'Smelter Look-up'!$J:$J,0))</f>
        <v>#N/A</v>
      </c>
      <c r="X446" s="170">
        <f t="shared" ca="1" si="33"/>
        <v>0</v>
      </c>
      <c r="AB446" s="313" t="str">
        <f t="shared" si="35"/>
        <v/>
      </c>
      <c r="AC446" s="170" t="str">
        <f t="shared" si="36"/>
        <v/>
      </c>
      <c r="AD446" s="170" t="str">
        <f t="shared" si="37"/>
        <v/>
      </c>
    </row>
    <row r="447" spans="1:30" s="170" customFormat="1" ht="20.399999999999999">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34"/>
        <v/>
      </c>
      <c r="T447" s="155" t="str">
        <f ca="1">IF(B447="","",IF(ISERROR(MATCH($J447,SorP!$B$1:$B$6226,0)),"",INDIRECT("'SorP'!$A$"&amp;MATCH($S447&amp;$J447,SorP!C:C,0))))</f>
        <v/>
      </c>
      <c r="U447" s="168"/>
      <c r="V447" s="169" t="e">
        <f>IF(C447="",NA(),MATCH($B447&amp;$C447,'Smelter Look-up'!$J:$J,0))</f>
        <v>#N/A</v>
      </c>
      <c r="X447" s="170">
        <f t="shared" ref="X447:X510" ca="1" si="38">IF(AND(C447="Smelter not listed",OR(LEN(D447)=0,LEN(E447)=0)),1,0)</f>
        <v>0</v>
      </c>
      <c r="AB447" s="313" t="str">
        <f t="shared" si="35"/>
        <v/>
      </c>
      <c r="AC447" s="170" t="str">
        <f t="shared" si="36"/>
        <v/>
      </c>
      <c r="AD447" s="170" t="str">
        <f t="shared" si="37"/>
        <v/>
      </c>
    </row>
    <row r="448" spans="1:30" s="170" customFormat="1" ht="20.399999999999999">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ref="S448:S511" ca="1" si="39">IF(B448="","",IF(ISERROR(MATCH($E448,CL,0)),"Unknown",INDIRECT("'C'!$A$"&amp;MATCH($E448,CL,0)+1)))</f>
        <v/>
      </c>
      <c r="T448" s="155" t="str">
        <f ca="1">IF(B448="","",IF(ISERROR(MATCH($J448,SorP!$B$1:$B$6226,0)),"",INDIRECT("'SorP'!$A$"&amp;MATCH($S448&amp;$J448,SorP!C:C,0))))</f>
        <v/>
      </c>
      <c r="U448" s="168"/>
      <c r="V448" s="169" t="e">
        <f>IF(C448="",NA(),MATCH($B448&amp;$C448,'Smelter Look-up'!$J:$J,0))</f>
        <v>#N/A</v>
      </c>
      <c r="X448" s="170">
        <f t="shared" ca="1" si="38"/>
        <v>0</v>
      </c>
      <c r="AB448" s="313" t="str">
        <f t="shared" si="35"/>
        <v/>
      </c>
      <c r="AC448" s="170" t="str">
        <f t="shared" si="36"/>
        <v/>
      </c>
      <c r="AD448" s="170" t="str">
        <f t="shared" si="37"/>
        <v/>
      </c>
    </row>
    <row r="449" spans="1:30" s="170" customFormat="1" ht="20.399999999999999">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39"/>
        <v/>
      </c>
      <c r="T449" s="155" t="str">
        <f ca="1">IF(B449="","",IF(ISERROR(MATCH($J449,SorP!$B$1:$B$6226,0)),"",INDIRECT("'SorP'!$A$"&amp;MATCH($S449&amp;$J449,SorP!C:C,0))))</f>
        <v/>
      </c>
      <c r="U449" s="168"/>
      <c r="V449" s="169" t="e">
        <f>IF(C449="",NA(),MATCH($B449&amp;$C449,'Smelter Look-up'!$J:$J,0))</f>
        <v>#N/A</v>
      </c>
      <c r="X449" s="170">
        <f t="shared" ca="1" si="38"/>
        <v>0</v>
      </c>
      <c r="AB449" s="313" t="str">
        <f t="shared" si="35"/>
        <v/>
      </c>
      <c r="AC449" s="170" t="str">
        <f t="shared" si="36"/>
        <v/>
      </c>
      <c r="AD449" s="170" t="str">
        <f t="shared" si="37"/>
        <v/>
      </c>
    </row>
    <row r="450" spans="1:30" s="170" customFormat="1" ht="20.399999999999999">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39"/>
        <v/>
      </c>
      <c r="T450" s="155" t="str">
        <f ca="1">IF(B450="","",IF(ISERROR(MATCH($J450,SorP!$B$1:$B$6226,0)),"",INDIRECT("'SorP'!$A$"&amp;MATCH($S450&amp;$J450,SorP!C:C,0))))</f>
        <v/>
      </c>
      <c r="U450" s="168"/>
      <c r="V450" s="169" t="e">
        <f>IF(C450="",NA(),MATCH($B450&amp;$C450,'Smelter Look-up'!$J:$J,0))</f>
        <v>#N/A</v>
      </c>
      <c r="X450" s="170">
        <f t="shared" ca="1" si="38"/>
        <v>0</v>
      </c>
      <c r="AB450" s="313" t="str">
        <f t="shared" si="35"/>
        <v/>
      </c>
      <c r="AC450" s="170" t="str">
        <f t="shared" si="36"/>
        <v/>
      </c>
      <c r="AD450" s="170" t="str">
        <f t="shared" si="37"/>
        <v/>
      </c>
    </row>
    <row r="451" spans="1:30" s="170" customFormat="1" ht="20.399999999999999">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39"/>
        <v/>
      </c>
      <c r="T451" s="155" t="str">
        <f ca="1">IF(B451="","",IF(ISERROR(MATCH($J451,SorP!$B$1:$B$6226,0)),"",INDIRECT("'SorP'!$A$"&amp;MATCH($S451&amp;$J451,SorP!C:C,0))))</f>
        <v/>
      </c>
      <c r="U451" s="168"/>
      <c r="V451" s="169" t="e">
        <f>IF(C451="",NA(),MATCH($B451&amp;$C451,'Smelter Look-up'!$J:$J,0))</f>
        <v>#N/A</v>
      </c>
      <c r="X451" s="170">
        <f t="shared" ca="1" si="38"/>
        <v>0</v>
      </c>
      <c r="AB451" s="313" t="str">
        <f t="shared" si="35"/>
        <v/>
      </c>
      <c r="AC451" s="170" t="str">
        <f t="shared" si="36"/>
        <v/>
      </c>
      <c r="AD451" s="170" t="str">
        <f t="shared" si="37"/>
        <v/>
      </c>
    </row>
    <row r="452" spans="1:30" s="170" customFormat="1" ht="20.399999999999999">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39"/>
        <v/>
      </c>
      <c r="T452" s="155" t="str">
        <f ca="1">IF(B452="","",IF(ISERROR(MATCH($J452,SorP!$B$1:$B$6226,0)),"",INDIRECT("'SorP'!$A$"&amp;MATCH($S452&amp;$J452,SorP!C:C,0))))</f>
        <v/>
      </c>
      <c r="U452" s="168"/>
      <c r="V452" s="169" t="e">
        <f>IF(C452="",NA(),MATCH($B452&amp;$C452,'Smelter Look-up'!$J:$J,0))</f>
        <v>#N/A</v>
      </c>
      <c r="X452" s="170">
        <f t="shared" ca="1" si="38"/>
        <v>0</v>
      </c>
      <c r="AB452" s="313" t="str">
        <f t="shared" si="35"/>
        <v/>
      </c>
      <c r="AC452" s="170" t="str">
        <f t="shared" si="36"/>
        <v/>
      </c>
      <c r="AD452" s="170" t="str">
        <f t="shared" si="37"/>
        <v/>
      </c>
    </row>
    <row r="453" spans="1:30" s="170" customFormat="1" ht="20.399999999999999">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39"/>
        <v/>
      </c>
      <c r="T453" s="155" t="str">
        <f ca="1">IF(B453="","",IF(ISERROR(MATCH($J453,SorP!$B$1:$B$6226,0)),"",INDIRECT("'SorP'!$A$"&amp;MATCH($S453&amp;$J453,SorP!C:C,0))))</f>
        <v/>
      </c>
      <c r="U453" s="168"/>
      <c r="V453" s="169" t="e">
        <f>IF(C453="",NA(),MATCH($B453&amp;$C453,'Smelter Look-up'!$J:$J,0))</f>
        <v>#N/A</v>
      </c>
      <c r="X453" s="170">
        <f t="shared" ca="1" si="38"/>
        <v>0</v>
      </c>
      <c r="AB453" s="313" t="str">
        <f t="shared" si="35"/>
        <v/>
      </c>
      <c r="AC453" s="170" t="str">
        <f t="shared" si="36"/>
        <v/>
      </c>
      <c r="AD453" s="170" t="str">
        <f t="shared" si="37"/>
        <v/>
      </c>
    </row>
    <row r="454" spans="1:30" s="170" customFormat="1" ht="20.399999999999999">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39"/>
        <v/>
      </c>
      <c r="T454" s="155" t="str">
        <f ca="1">IF(B454="","",IF(ISERROR(MATCH($J454,SorP!$B$1:$B$6226,0)),"",INDIRECT("'SorP'!$A$"&amp;MATCH($S454&amp;$J454,SorP!C:C,0))))</f>
        <v/>
      </c>
      <c r="U454" s="168"/>
      <c r="V454" s="169" t="e">
        <f>IF(C454="",NA(),MATCH($B454&amp;$C454,'Smelter Look-up'!$J:$J,0))</f>
        <v>#N/A</v>
      </c>
      <c r="X454" s="170">
        <f t="shared" ca="1" si="38"/>
        <v>0</v>
      </c>
      <c r="AB454" s="313" t="str">
        <f t="shared" ref="AB454:AB517" si="40">IF(C454="","",B454)</f>
        <v/>
      </c>
      <c r="AC454" s="170" t="str">
        <f t="shared" ref="AC454:AC517" si="41">B454</f>
        <v/>
      </c>
      <c r="AD454" s="170" t="str">
        <f t="shared" ref="AD454:AD517" si="42">IF(C454="Smelter not listed",D454,C454)</f>
        <v/>
      </c>
    </row>
    <row r="455" spans="1:30" s="170" customFormat="1" ht="20.399999999999999">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39"/>
        <v/>
      </c>
      <c r="T455" s="155" t="str">
        <f ca="1">IF(B455="","",IF(ISERROR(MATCH($J455,SorP!$B$1:$B$6226,0)),"",INDIRECT("'SorP'!$A$"&amp;MATCH($S455&amp;$J455,SorP!C:C,0))))</f>
        <v/>
      </c>
      <c r="U455" s="168"/>
      <c r="V455" s="169" t="e">
        <f>IF(C455="",NA(),MATCH($B455&amp;$C455,'Smelter Look-up'!$J:$J,0))</f>
        <v>#N/A</v>
      </c>
      <c r="X455" s="170">
        <f t="shared" ca="1" si="38"/>
        <v>0</v>
      </c>
      <c r="AB455" s="313" t="str">
        <f t="shared" si="40"/>
        <v/>
      </c>
      <c r="AC455" s="170" t="str">
        <f t="shared" si="41"/>
        <v/>
      </c>
      <c r="AD455" s="170" t="str">
        <f t="shared" si="42"/>
        <v/>
      </c>
    </row>
    <row r="456" spans="1:30" s="170" customFormat="1" ht="20.399999999999999">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39"/>
        <v/>
      </c>
      <c r="T456" s="155" t="str">
        <f ca="1">IF(B456="","",IF(ISERROR(MATCH($J456,SorP!$B$1:$B$6226,0)),"",INDIRECT("'SorP'!$A$"&amp;MATCH($S456&amp;$J456,SorP!C:C,0))))</f>
        <v/>
      </c>
      <c r="U456" s="168"/>
      <c r="V456" s="169" t="e">
        <f>IF(C456="",NA(),MATCH($B456&amp;$C456,'Smelter Look-up'!$J:$J,0))</f>
        <v>#N/A</v>
      </c>
      <c r="X456" s="170">
        <f t="shared" ca="1" si="38"/>
        <v>0</v>
      </c>
      <c r="AB456" s="313" t="str">
        <f t="shared" si="40"/>
        <v/>
      </c>
      <c r="AC456" s="170" t="str">
        <f t="shared" si="41"/>
        <v/>
      </c>
      <c r="AD456" s="170" t="str">
        <f t="shared" si="42"/>
        <v/>
      </c>
    </row>
    <row r="457" spans="1:30" s="170" customFormat="1" ht="20.399999999999999">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39"/>
        <v/>
      </c>
      <c r="T457" s="155" t="str">
        <f ca="1">IF(B457="","",IF(ISERROR(MATCH($J457,SorP!$B$1:$B$6226,0)),"",INDIRECT("'SorP'!$A$"&amp;MATCH($S457&amp;$J457,SorP!C:C,0))))</f>
        <v/>
      </c>
      <c r="U457" s="168"/>
      <c r="V457" s="169" t="e">
        <f>IF(C457="",NA(),MATCH($B457&amp;$C457,'Smelter Look-up'!$J:$J,0))</f>
        <v>#N/A</v>
      </c>
      <c r="X457" s="170">
        <f t="shared" ca="1" si="38"/>
        <v>0</v>
      </c>
      <c r="AB457" s="313" t="str">
        <f t="shared" si="40"/>
        <v/>
      </c>
      <c r="AC457" s="170" t="str">
        <f t="shared" si="41"/>
        <v/>
      </c>
      <c r="AD457" s="170" t="str">
        <f t="shared" si="42"/>
        <v/>
      </c>
    </row>
    <row r="458" spans="1:30" s="170" customFormat="1" ht="20.399999999999999">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39"/>
        <v/>
      </c>
      <c r="T458" s="155" t="str">
        <f ca="1">IF(B458="","",IF(ISERROR(MATCH($J458,SorP!$B$1:$B$6226,0)),"",INDIRECT("'SorP'!$A$"&amp;MATCH($S458&amp;$J458,SorP!C:C,0))))</f>
        <v/>
      </c>
      <c r="U458" s="168"/>
      <c r="V458" s="169" t="e">
        <f>IF(C458="",NA(),MATCH($B458&amp;$C458,'Smelter Look-up'!$J:$J,0))</f>
        <v>#N/A</v>
      </c>
      <c r="X458" s="170">
        <f t="shared" ca="1" si="38"/>
        <v>0</v>
      </c>
      <c r="AB458" s="313" t="str">
        <f t="shared" si="40"/>
        <v/>
      </c>
      <c r="AC458" s="170" t="str">
        <f t="shared" si="41"/>
        <v/>
      </c>
      <c r="AD458" s="170" t="str">
        <f t="shared" si="42"/>
        <v/>
      </c>
    </row>
    <row r="459" spans="1:30" s="170" customFormat="1" ht="20.399999999999999">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39"/>
        <v/>
      </c>
      <c r="T459" s="155" t="str">
        <f ca="1">IF(B459="","",IF(ISERROR(MATCH($J459,SorP!$B$1:$B$6226,0)),"",INDIRECT("'SorP'!$A$"&amp;MATCH($S459&amp;$J459,SorP!C:C,0))))</f>
        <v/>
      </c>
      <c r="U459" s="168"/>
      <c r="V459" s="169" t="e">
        <f>IF(C459="",NA(),MATCH($B459&amp;$C459,'Smelter Look-up'!$J:$J,0))</f>
        <v>#N/A</v>
      </c>
      <c r="X459" s="170">
        <f t="shared" ca="1" si="38"/>
        <v>0</v>
      </c>
      <c r="AB459" s="313" t="str">
        <f t="shared" si="40"/>
        <v/>
      </c>
      <c r="AC459" s="170" t="str">
        <f t="shared" si="41"/>
        <v/>
      </c>
      <c r="AD459" s="170" t="str">
        <f t="shared" si="42"/>
        <v/>
      </c>
    </row>
    <row r="460" spans="1:30" s="170" customFormat="1" ht="20.399999999999999">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39"/>
        <v/>
      </c>
      <c r="T460" s="155" t="str">
        <f ca="1">IF(B460="","",IF(ISERROR(MATCH($J460,SorP!$B$1:$B$6226,0)),"",INDIRECT("'SorP'!$A$"&amp;MATCH($S460&amp;$J460,SorP!C:C,0))))</f>
        <v/>
      </c>
      <c r="U460" s="168"/>
      <c r="V460" s="169" t="e">
        <f>IF(C460="",NA(),MATCH($B460&amp;$C460,'Smelter Look-up'!$J:$J,0))</f>
        <v>#N/A</v>
      </c>
      <c r="X460" s="170">
        <f t="shared" ca="1" si="38"/>
        <v>0</v>
      </c>
      <c r="AB460" s="313" t="str">
        <f t="shared" si="40"/>
        <v/>
      </c>
      <c r="AC460" s="170" t="str">
        <f t="shared" si="41"/>
        <v/>
      </c>
      <c r="AD460" s="170" t="str">
        <f t="shared" si="42"/>
        <v/>
      </c>
    </row>
    <row r="461" spans="1:30" s="170" customFormat="1" ht="20.399999999999999">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39"/>
        <v/>
      </c>
      <c r="T461" s="155" t="str">
        <f ca="1">IF(B461="","",IF(ISERROR(MATCH($J461,SorP!$B$1:$B$6226,0)),"",INDIRECT("'SorP'!$A$"&amp;MATCH($S461&amp;$J461,SorP!C:C,0))))</f>
        <v/>
      </c>
      <c r="U461" s="168"/>
      <c r="V461" s="169" t="e">
        <f>IF(C461="",NA(),MATCH($B461&amp;$C461,'Smelter Look-up'!$J:$J,0))</f>
        <v>#N/A</v>
      </c>
      <c r="X461" s="170">
        <f t="shared" ca="1" si="38"/>
        <v>0</v>
      </c>
      <c r="AB461" s="313" t="str">
        <f t="shared" si="40"/>
        <v/>
      </c>
      <c r="AC461" s="170" t="str">
        <f t="shared" si="41"/>
        <v/>
      </c>
      <c r="AD461" s="170" t="str">
        <f t="shared" si="42"/>
        <v/>
      </c>
    </row>
    <row r="462" spans="1:30" s="170" customFormat="1" ht="20.399999999999999">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39"/>
        <v/>
      </c>
      <c r="T462" s="155" t="str">
        <f ca="1">IF(B462="","",IF(ISERROR(MATCH($J462,SorP!$B$1:$B$6226,0)),"",INDIRECT("'SorP'!$A$"&amp;MATCH($S462&amp;$J462,SorP!C:C,0))))</f>
        <v/>
      </c>
      <c r="U462" s="168"/>
      <c r="V462" s="169" t="e">
        <f>IF(C462="",NA(),MATCH($B462&amp;$C462,'Smelter Look-up'!$J:$J,0))</f>
        <v>#N/A</v>
      </c>
      <c r="X462" s="170">
        <f t="shared" ca="1" si="38"/>
        <v>0</v>
      </c>
      <c r="AB462" s="313" t="str">
        <f t="shared" si="40"/>
        <v/>
      </c>
      <c r="AC462" s="170" t="str">
        <f t="shared" si="41"/>
        <v/>
      </c>
      <c r="AD462" s="170" t="str">
        <f t="shared" si="42"/>
        <v/>
      </c>
    </row>
    <row r="463" spans="1:30" s="170" customFormat="1" ht="20.399999999999999">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39"/>
        <v/>
      </c>
      <c r="T463" s="155" t="str">
        <f ca="1">IF(B463="","",IF(ISERROR(MATCH($J463,SorP!$B$1:$B$6226,0)),"",INDIRECT("'SorP'!$A$"&amp;MATCH($S463&amp;$J463,SorP!C:C,0))))</f>
        <v/>
      </c>
      <c r="U463" s="168"/>
      <c r="V463" s="169" t="e">
        <f>IF(C463="",NA(),MATCH($B463&amp;$C463,'Smelter Look-up'!$J:$J,0))</f>
        <v>#N/A</v>
      </c>
      <c r="X463" s="170">
        <f t="shared" ca="1" si="38"/>
        <v>0</v>
      </c>
      <c r="AB463" s="313" t="str">
        <f t="shared" si="40"/>
        <v/>
      </c>
      <c r="AC463" s="170" t="str">
        <f t="shared" si="41"/>
        <v/>
      </c>
      <c r="AD463" s="170" t="str">
        <f t="shared" si="42"/>
        <v/>
      </c>
    </row>
    <row r="464" spans="1:30" s="170" customFormat="1" ht="20.399999999999999">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39"/>
        <v/>
      </c>
      <c r="T464" s="155" t="str">
        <f ca="1">IF(B464="","",IF(ISERROR(MATCH($J464,SorP!$B$1:$B$6226,0)),"",INDIRECT("'SorP'!$A$"&amp;MATCH($S464&amp;$J464,SorP!C:C,0))))</f>
        <v/>
      </c>
      <c r="U464" s="168"/>
      <c r="V464" s="169" t="e">
        <f>IF(C464="",NA(),MATCH($B464&amp;$C464,'Smelter Look-up'!$J:$J,0))</f>
        <v>#N/A</v>
      </c>
      <c r="X464" s="170">
        <f t="shared" ca="1" si="38"/>
        <v>0</v>
      </c>
      <c r="AB464" s="313" t="str">
        <f t="shared" si="40"/>
        <v/>
      </c>
      <c r="AC464" s="170" t="str">
        <f t="shared" si="41"/>
        <v/>
      </c>
      <c r="AD464" s="170" t="str">
        <f t="shared" si="42"/>
        <v/>
      </c>
    </row>
    <row r="465" spans="1:30" s="170" customFormat="1" ht="20.399999999999999">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39"/>
        <v/>
      </c>
      <c r="T465" s="155" t="str">
        <f ca="1">IF(B465="","",IF(ISERROR(MATCH($J465,SorP!$B$1:$B$6226,0)),"",INDIRECT("'SorP'!$A$"&amp;MATCH($S465&amp;$J465,SorP!C:C,0))))</f>
        <v/>
      </c>
      <c r="U465" s="168"/>
      <c r="V465" s="169" t="e">
        <f>IF(C465="",NA(),MATCH($B465&amp;$C465,'Smelter Look-up'!$J:$J,0))</f>
        <v>#N/A</v>
      </c>
      <c r="X465" s="170">
        <f t="shared" ca="1" si="38"/>
        <v>0</v>
      </c>
      <c r="AB465" s="313" t="str">
        <f t="shared" si="40"/>
        <v/>
      </c>
      <c r="AC465" s="170" t="str">
        <f t="shared" si="41"/>
        <v/>
      </c>
      <c r="AD465" s="170" t="str">
        <f t="shared" si="42"/>
        <v/>
      </c>
    </row>
    <row r="466" spans="1:30" s="170" customFormat="1" ht="20.399999999999999">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39"/>
        <v/>
      </c>
      <c r="T466" s="155" t="str">
        <f ca="1">IF(B466="","",IF(ISERROR(MATCH($J466,SorP!$B$1:$B$6226,0)),"",INDIRECT("'SorP'!$A$"&amp;MATCH($S466&amp;$J466,SorP!C:C,0))))</f>
        <v/>
      </c>
      <c r="U466" s="168"/>
      <c r="V466" s="169" t="e">
        <f>IF(C466="",NA(),MATCH($B466&amp;$C466,'Smelter Look-up'!$J:$J,0))</f>
        <v>#N/A</v>
      </c>
      <c r="X466" s="170">
        <f t="shared" ca="1" si="38"/>
        <v>0</v>
      </c>
      <c r="AB466" s="313" t="str">
        <f t="shared" si="40"/>
        <v/>
      </c>
      <c r="AC466" s="170" t="str">
        <f t="shared" si="41"/>
        <v/>
      </c>
      <c r="AD466" s="170" t="str">
        <f t="shared" si="42"/>
        <v/>
      </c>
    </row>
    <row r="467" spans="1:30" s="170" customFormat="1" ht="20.399999999999999">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39"/>
        <v/>
      </c>
      <c r="T467" s="155" t="str">
        <f ca="1">IF(B467="","",IF(ISERROR(MATCH($J467,SorP!$B$1:$B$6226,0)),"",INDIRECT("'SorP'!$A$"&amp;MATCH($S467&amp;$J467,SorP!C:C,0))))</f>
        <v/>
      </c>
      <c r="U467" s="168"/>
      <c r="V467" s="169" t="e">
        <f>IF(C467="",NA(),MATCH($B467&amp;$C467,'Smelter Look-up'!$J:$J,0))</f>
        <v>#N/A</v>
      </c>
      <c r="X467" s="170">
        <f t="shared" ca="1" si="38"/>
        <v>0</v>
      </c>
      <c r="AB467" s="313" t="str">
        <f t="shared" si="40"/>
        <v/>
      </c>
      <c r="AC467" s="170" t="str">
        <f t="shared" si="41"/>
        <v/>
      </c>
      <c r="AD467" s="170" t="str">
        <f t="shared" si="42"/>
        <v/>
      </c>
    </row>
    <row r="468" spans="1:30" s="170" customFormat="1" ht="20.399999999999999">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39"/>
        <v/>
      </c>
      <c r="T468" s="155" t="str">
        <f ca="1">IF(B468="","",IF(ISERROR(MATCH($J468,SorP!$B$1:$B$6226,0)),"",INDIRECT("'SorP'!$A$"&amp;MATCH($S468&amp;$J468,SorP!C:C,0))))</f>
        <v/>
      </c>
      <c r="U468" s="168"/>
      <c r="V468" s="169" t="e">
        <f>IF(C468="",NA(),MATCH($B468&amp;$C468,'Smelter Look-up'!$J:$J,0))</f>
        <v>#N/A</v>
      </c>
      <c r="X468" s="170">
        <f t="shared" ca="1" si="38"/>
        <v>0</v>
      </c>
      <c r="AB468" s="313" t="str">
        <f t="shared" si="40"/>
        <v/>
      </c>
      <c r="AC468" s="170" t="str">
        <f t="shared" si="41"/>
        <v/>
      </c>
      <c r="AD468" s="170" t="str">
        <f t="shared" si="42"/>
        <v/>
      </c>
    </row>
    <row r="469" spans="1:30" s="170" customFormat="1" ht="20.399999999999999">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39"/>
        <v/>
      </c>
      <c r="T469" s="155" t="str">
        <f ca="1">IF(B469="","",IF(ISERROR(MATCH($J469,SorP!$B$1:$B$6226,0)),"",INDIRECT("'SorP'!$A$"&amp;MATCH($S469&amp;$J469,SorP!C:C,0))))</f>
        <v/>
      </c>
      <c r="U469" s="168"/>
      <c r="V469" s="169" t="e">
        <f>IF(C469="",NA(),MATCH($B469&amp;$C469,'Smelter Look-up'!$J:$J,0))</f>
        <v>#N/A</v>
      </c>
      <c r="X469" s="170">
        <f t="shared" ca="1" si="38"/>
        <v>0</v>
      </c>
      <c r="AB469" s="313" t="str">
        <f t="shared" si="40"/>
        <v/>
      </c>
      <c r="AC469" s="170" t="str">
        <f t="shared" si="41"/>
        <v/>
      </c>
      <c r="AD469" s="170" t="str">
        <f t="shared" si="42"/>
        <v/>
      </c>
    </row>
    <row r="470" spans="1:30" s="170" customFormat="1" ht="20.399999999999999">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39"/>
        <v/>
      </c>
      <c r="T470" s="155" t="str">
        <f ca="1">IF(B470="","",IF(ISERROR(MATCH($J470,SorP!$B$1:$B$6226,0)),"",INDIRECT("'SorP'!$A$"&amp;MATCH($S470&amp;$J470,SorP!C:C,0))))</f>
        <v/>
      </c>
      <c r="U470" s="168"/>
      <c r="V470" s="169" t="e">
        <f>IF(C470="",NA(),MATCH($B470&amp;$C470,'Smelter Look-up'!$J:$J,0))</f>
        <v>#N/A</v>
      </c>
      <c r="X470" s="170">
        <f t="shared" ca="1" si="38"/>
        <v>0</v>
      </c>
      <c r="AB470" s="313" t="str">
        <f t="shared" si="40"/>
        <v/>
      </c>
      <c r="AC470" s="170" t="str">
        <f t="shared" si="41"/>
        <v/>
      </c>
      <c r="AD470" s="170" t="str">
        <f t="shared" si="42"/>
        <v/>
      </c>
    </row>
    <row r="471" spans="1:30" s="170" customFormat="1" ht="20.399999999999999">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39"/>
        <v/>
      </c>
      <c r="T471" s="155" t="str">
        <f ca="1">IF(B471="","",IF(ISERROR(MATCH($J471,SorP!$B$1:$B$6226,0)),"",INDIRECT("'SorP'!$A$"&amp;MATCH($S471&amp;$J471,SorP!C:C,0))))</f>
        <v/>
      </c>
      <c r="U471" s="168"/>
      <c r="V471" s="169" t="e">
        <f>IF(C471="",NA(),MATCH($B471&amp;$C471,'Smelter Look-up'!$J:$J,0))</f>
        <v>#N/A</v>
      </c>
      <c r="X471" s="170">
        <f t="shared" ca="1" si="38"/>
        <v>0</v>
      </c>
      <c r="AB471" s="313" t="str">
        <f t="shared" si="40"/>
        <v/>
      </c>
      <c r="AC471" s="170" t="str">
        <f t="shared" si="41"/>
        <v/>
      </c>
      <c r="AD471" s="170" t="str">
        <f t="shared" si="42"/>
        <v/>
      </c>
    </row>
    <row r="472" spans="1:30" s="170" customFormat="1" ht="20.399999999999999">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39"/>
        <v/>
      </c>
      <c r="T472" s="155" t="str">
        <f ca="1">IF(B472="","",IF(ISERROR(MATCH($J472,SorP!$B$1:$B$6226,0)),"",INDIRECT("'SorP'!$A$"&amp;MATCH($S472&amp;$J472,SorP!C:C,0))))</f>
        <v/>
      </c>
      <c r="U472" s="168"/>
      <c r="V472" s="169" t="e">
        <f>IF(C472="",NA(),MATCH($B472&amp;$C472,'Smelter Look-up'!$J:$J,0))</f>
        <v>#N/A</v>
      </c>
      <c r="X472" s="170">
        <f t="shared" ca="1" si="38"/>
        <v>0</v>
      </c>
      <c r="AB472" s="313" t="str">
        <f t="shared" si="40"/>
        <v/>
      </c>
      <c r="AC472" s="170" t="str">
        <f t="shared" si="41"/>
        <v/>
      </c>
      <c r="AD472" s="170" t="str">
        <f t="shared" si="42"/>
        <v/>
      </c>
    </row>
    <row r="473" spans="1:30" s="170" customFormat="1" ht="20.399999999999999">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39"/>
        <v/>
      </c>
      <c r="T473" s="155" t="str">
        <f ca="1">IF(B473="","",IF(ISERROR(MATCH($J473,SorP!$B$1:$B$6226,0)),"",INDIRECT("'SorP'!$A$"&amp;MATCH($S473&amp;$J473,SorP!C:C,0))))</f>
        <v/>
      </c>
      <c r="U473" s="168"/>
      <c r="V473" s="169" t="e">
        <f>IF(C473="",NA(),MATCH($B473&amp;$C473,'Smelter Look-up'!$J:$J,0))</f>
        <v>#N/A</v>
      </c>
      <c r="X473" s="170">
        <f t="shared" ca="1" si="38"/>
        <v>0</v>
      </c>
      <c r="AB473" s="313" t="str">
        <f t="shared" si="40"/>
        <v/>
      </c>
      <c r="AC473" s="170" t="str">
        <f t="shared" si="41"/>
        <v/>
      </c>
      <c r="AD473" s="170" t="str">
        <f t="shared" si="42"/>
        <v/>
      </c>
    </row>
    <row r="474" spans="1:30" s="170" customFormat="1" ht="20.399999999999999">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39"/>
        <v/>
      </c>
      <c r="T474" s="155" t="str">
        <f ca="1">IF(B474="","",IF(ISERROR(MATCH($J474,SorP!$B$1:$B$6226,0)),"",INDIRECT("'SorP'!$A$"&amp;MATCH($S474&amp;$J474,SorP!C:C,0))))</f>
        <v/>
      </c>
      <c r="U474" s="168"/>
      <c r="V474" s="169" t="e">
        <f>IF(C474="",NA(),MATCH($B474&amp;$C474,'Smelter Look-up'!$J:$J,0))</f>
        <v>#N/A</v>
      </c>
      <c r="X474" s="170">
        <f t="shared" ca="1" si="38"/>
        <v>0</v>
      </c>
      <c r="AB474" s="313" t="str">
        <f t="shared" si="40"/>
        <v/>
      </c>
      <c r="AC474" s="170" t="str">
        <f t="shared" si="41"/>
        <v/>
      </c>
      <c r="AD474" s="170" t="str">
        <f t="shared" si="42"/>
        <v/>
      </c>
    </row>
    <row r="475" spans="1:30" s="170" customFormat="1" ht="20.399999999999999">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39"/>
        <v/>
      </c>
      <c r="T475" s="155" t="str">
        <f ca="1">IF(B475="","",IF(ISERROR(MATCH($J475,SorP!$B$1:$B$6226,0)),"",INDIRECT("'SorP'!$A$"&amp;MATCH($S475&amp;$J475,SorP!C:C,0))))</f>
        <v/>
      </c>
      <c r="U475" s="168"/>
      <c r="V475" s="169" t="e">
        <f>IF(C475="",NA(),MATCH($B475&amp;$C475,'Smelter Look-up'!$J:$J,0))</f>
        <v>#N/A</v>
      </c>
      <c r="X475" s="170">
        <f t="shared" ca="1" si="38"/>
        <v>0</v>
      </c>
      <c r="AB475" s="313" t="str">
        <f t="shared" si="40"/>
        <v/>
      </c>
      <c r="AC475" s="170" t="str">
        <f t="shared" si="41"/>
        <v/>
      </c>
      <c r="AD475" s="170" t="str">
        <f t="shared" si="42"/>
        <v/>
      </c>
    </row>
    <row r="476" spans="1:30" s="170" customFormat="1" ht="20.399999999999999">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39"/>
        <v/>
      </c>
      <c r="T476" s="155" t="str">
        <f ca="1">IF(B476="","",IF(ISERROR(MATCH($J476,SorP!$B$1:$B$6226,0)),"",INDIRECT("'SorP'!$A$"&amp;MATCH($S476&amp;$J476,SorP!C:C,0))))</f>
        <v/>
      </c>
      <c r="U476" s="168"/>
      <c r="V476" s="169" t="e">
        <f>IF(C476="",NA(),MATCH($B476&amp;$C476,'Smelter Look-up'!$J:$J,0))</f>
        <v>#N/A</v>
      </c>
      <c r="X476" s="170">
        <f t="shared" ca="1" si="38"/>
        <v>0</v>
      </c>
      <c r="AB476" s="313" t="str">
        <f t="shared" si="40"/>
        <v/>
      </c>
      <c r="AC476" s="170" t="str">
        <f t="shared" si="41"/>
        <v/>
      </c>
      <c r="AD476" s="170" t="str">
        <f t="shared" si="42"/>
        <v/>
      </c>
    </row>
    <row r="477" spans="1:30" s="170" customFormat="1" ht="20.399999999999999">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39"/>
        <v/>
      </c>
      <c r="T477" s="155" t="str">
        <f ca="1">IF(B477="","",IF(ISERROR(MATCH($J477,SorP!$B$1:$B$6226,0)),"",INDIRECT("'SorP'!$A$"&amp;MATCH($S477&amp;$J477,SorP!C:C,0))))</f>
        <v/>
      </c>
      <c r="U477" s="168"/>
      <c r="V477" s="169" t="e">
        <f>IF(C477="",NA(),MATCH($B477&amp;$C477,'Smelter Look-up'!$J:$J,0))</f>
        <v>#N/A</v>
      </c>
      <c r="X477" s="170">
        <f t="shared" ca="1" si="38"/>
        <v>0</v>
      </c>
      <c r="AB477" s="313" t="str">
        <f t="shared" si="40"/>
        <v/>
      </c>
      <c r="AC477" s="170" t="str">
        <f t="shared" si="41"/>
        <v/>
      </c>
      <c r="AD477" s="170" t="str">
        <f t="shared" si="42"/>
        <v/>
      </c>
    </row>
    <row r="478" spans="1:30" s="170" customFormat="1" ht="20.399999999999999">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39"/>
        <v/>
      </c>
      <c r="T478" s="155" t="str">
        <f ca="1">IF(B478="","",IF(ISERROR(MATCH($J478,SorP!$B$1:$B$6226,0)),"",INDIRECT("'SorP'!$A$"&amp;MATCH($S478&amp;$J478,SorP!C:C,0))))</f>
        <v/>
      </c>
      <c r="U478" s="168"/>
      <c r="V478" s="169" t="e">
        <f>IF(C478="",NA(),MATCH($B478&amp;$C478,'Smelter Look-up'!$J:$J,0))</f>
        <v>#N/A</v>
      </c>
      <c r="X478" s="170">
        <f t="shared" ca="1" si="38"/>
        <v>0</v>
      </c>
      <c r="AB478" s="313" t="str">
        <f t="shared" si="40"/>
        <v/>
      </c>
      <c r="AC478" s="170" t="str">
        <f t="shared" si="41"/>
        <v/>
      </c>
      <c r="AD478" s="170" t="str">
        <f t="shared" si="42"/>
        <v/>
      </c>
    </row>
    <row r="479" spans="1:30" s="170" customFormat="1" ht="20.399999999999999">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39"/>
        <v/>
      </c>
      <c r="T479" s="155" t="str">
        <f ca="1">IF(B479="","",IF(ISERROR(MATCH($J479,SorP!$B$1:$B$6226,0)),"",INDIRECT("'SorP'!$A$"&amp;MATCH($S479&amp;$J479,SorP!C:C,0))))</f>
        <v/>
      </c>
      <c r="U479" s="168"/>
      <c r="V479" s="169" t="e">
        <f>IF(C479="",NA(),MATCH($B479&amp;$C479,'Smelter Look-up'!$J:$J,0))</f>
        <v>#N/A</v>
      </c>
      <c r="X479" s="170">
        <f t="shared" ca="1" si="38"/>
        <v>0</v>
      </c>
      <c r="AB479" s="313" t="str">
        <f t="shared" si="40"/>
        <v/>
      </c>
      <c r="AC479" s="170" t="str">
        <f t="shared" si="41"/>
        <v/>
      </c>
      <c r="AD479" s="170" t="str">
        <f t="shared" si="42"/>
        <v/>
      </c>
    </row>
    <row r="480" spans="1:30" s="170" customFormat="1" ht="20.399999999999999">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39"/>
        <v/>
      </c>
      <c r="T480" s="155" t="str">
        <f ca="1">IF(B480="","",IF(ISERROR(MATCH($J480,SorP!$B$1:$B$6226,0)),"",INDIRECT("'SorP'!$A$"&amp;MATCH($S480&amp;$J480,SorP!C:C,0))))</f>
        <v/>
      </c>
      <c r="U480" s="168"/>
      <c r="V480" s="169" t="e">
        <f>IF(C480="",NA(),MATCH($B480&amp;$C480,'Smelter Look-up'!$J:$J,0))</f>
        <v>#N/A</v>
      </c>
      <c r="X480" s="170">
        <f t="shared" ca="1" si="38"/>
        <v>0</v>
      </c>
      <c r="AB480" s="313" t="str">
        <f t="shared" si="40"/>
        <v/>
      </c>
      <c r="AC480" s="170" t="str">
        <f t="shared" si="41"/>
        <v/>
      </c>
      <c r="AD480" s="170" t="str">
        <f t="shared" si="42"/>
        <v/>
      </c>
    </row>
    <row r="481" spans="1:30" s="170" customFormat="1" ht="20.399999999999999">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39"/>
        <v/>
      </c>
      <c r="T481" s="155" t="str">
        <f ca="1">IF(B481="","",IF(ISERROR(MATCH($J481,SorP!$B$1:$B$6226,0)),"",INDIRECT("'SorP'!$A$"&amp;MATCH($S481&amp;$J481,SorP!C:C,0))))</f>
        <v/>
      </c>
      <c r="U481" s="168"/>
      <c r="V481" s="169" t="e">
        <f>IF(C481="",NA(),MATCH($B481&amp;$C481,'Smelter Look-up'!$J:$J,0))</f>
        <v>#N/A</v>
      </c>
      <c r="X481" s="170">
        <f t="shared" ca="1" si="38"/>
        <v>0</v>
      </c>
      <c r="AB481" s="313" t="str">
        <f t="shared" si="40"/>
        <v/>
      </c>
      <c r="AC481" s="170" t="str">
        <f t="shared" si="41"/>
        <v/>
      </c>
      <c r="AD481" s="170" t="str">
        <f t="shared" si="42"/>
        <v/>
      </c>
    </row>
    <row r="482" spans="1:30" s="170" customFormat="1" ht="20.399999999999999">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39"/>
        <v/>
      </c>
      <c r="T482" s="155" t="str">
        <f ca="1">IF(B482="","",IF(ISERROR(MATCH($J482,SorP!$B$1:$B$6226,0)),"",INDIRECT("'SorP'!$A$"&amp;MATCH($S482&amp;$J482,SorP!C:C,0))))</f>
        <v/>
      </c>
      <c r="U482" s="168"/>
      <c r="V482" s="169" t="e">
        <f>IF(C482="",NA(),MATCH($B482&amp;$C482,'Smelter Look-up'!$J:$J,0))</f>
        <v>#N/A</v>
      </c>
      <c r="X482" s="170">
        <f t="shared" ca="1" si="38"/>
        <v>0</v>
      </c>
      <c r="AB482" s="313" t="str">
        <f t="shared" si="40"/>
        <v/>
      </c>
      <c r="AC482" s="170" t="str">
        <f t="shared" si="41"/>
        <v/>
      </c>
      <c r="AD482" s="170" t="str">
        <f t="shared" si="42"/>
        <v/>
      </c>
    </row>
    <row r="483" spans="1:30" s="170" customFormat="1" ht="20.399999999999999">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39"/>
        <v/>
      </c>
      <c r="T483" s="155" t="str">
        <f ca="1">IF(B483="","",IF(ISERROR(MATCH($J483,SorP!$B$1:$B$6226,0)),"",INDIRECT("'SorP'!$A$"&amp;MATCH($S483&amp;$J483,SorP!C:C,0))))</f>
        <v/>
      </c>
      <c r="U483" s="168"/>
      <c r="V483" s="169" t="e">
        <f>IF(C483="",NA(),MATCH($B483&amp;$C483,'Smelter Look-up'!$J:$J,0))</f>
        <v>#N/A</v>
      </c>
      <c r="X483" s="170">
        <f t="shared" ca="1" si="38"/>
        <v>0</v>
      </c>
      <c r="AB483" s="313" t="str">
        <f t="shared" si="40"/>
        <v/>
      </c>
      <c r="AC483" s="170" t="str">
        <f t="shared" si="41"/>
        <v/>
      </c>
      <c r="AD483" s="170" t="str">
        <f t="shared" si="42"/>
        <v/>
      </c>
    </row>
    <row r="484" spans="1:30" s="170" customFormat="1" ht="20.399999999999999">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39"/>
        <v/>
      </c>
      <c r="T484" s="155" t="str">
        <f ca="1">IF(B484="","",IF(ISERROR(MATCH($J484,SorP!$B$1:$B$6226,0)),"",INDIRECT("'SorP'!$A$"&amp;MATCH($S484&amp;$J484,SorP!C:C,0))))</f>
        <v/>
      </c>
      <c r="U484" s="168"/>
      <c r="V484" s="169" t="e">
        <f>IF(C484="",NA(),MATCH($B484&amp;$C484,'Smelter Look-up'!$J:$J,0))</f>
        <v>#N/A</v>
      </c>
      <c r="X484" s="170">
        <f t="shared" ca="1" si="38"/>
        <v>0</v>
      </c>
      <c r="AB484" s="313" t="str">
        <f t="shared" si="40"/>
        <v/>
      </c>
      <c r="AC484" s="170" t="str">
        <f t="shared" si="41"/>
        <v/>
      </c>
      <c r="AD484" s="170" t="str">
        <f t="shared" si="42"/>
        <v/>
      </c>
    </row>
    <row r="485" spans="1:30" s="170" customFormat="1" ht="20.399999999999999">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39"/>
        <v/>
      </c>
      <c r="T485" s="155" t="str">
        <f ca="1">IF(B485="","",IF(ISERROR(MATCH($J485,SorP!$B$1:$B$6226,0)),"",INDIRECT("'SorP'!$A$"&amp;MATCH($S485&amp;$J485,SorP!C:C,0))))</f>
        <v/>
      </c>
      <c r="U485" s="168"/>
      <c r="V485" s="169" t="e">
        <f>IF(C485="",NA(),MATCH($B485&amp;$C485,'Smelter Look-up'!$J:$J,0))</f>
        <v>#N/A</v>
      </c>
      <c r="X485" s="170">
        <f t="shared" ca="1" si="38"/>
        <v>0</v>
      </c>
      <c r="AB485" s="313" t="str">
        <f t="shared" si="40"/>
        <v/>
      </c>
      <c r="AC485" s="170" t="str">
        <f t="shared" si="41"/>
        <v/>
      </c>
      <c r="AD485" s="170" t="str">
        <f t="shared" si="42"/>
        <v/>
      </c>
    </row>
    <row r="486" spans="1:30" s="170" customFormat="1" ht="20.399999999999999">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39"/>
        <v/>
      </c>
      <c r="T486" s="155" t="str">
        <f ca="1">IF(B486="","",IF(ISERROR(MATCH($J486,SorP!$B$1:$B$6226,0)),"",INDIRECT("'SorP'!$A$"&amp;MATCH($S486&amp;$J486,SorP!C:C,0))))</f>
        <v/>
      </c>
      <c r="U486" s="168"/>
      <c r="V486" s="169" t="e">
        <f>IF(C486="",NA(),MATCH($B486&amp;$C486,'Smelter Look-up'!$J:$J,0))</f>
        <v>#N/A</v>
      </c>
      <c r="X486" s="170">
        <f t="shared" ca="1" si="38"/>
        <v>0</v>
      </c>
      <c r="AB486" s="313" t="str">
        <f t="shared" si="40"/>
        <v/>
      </c>
      <c r="AC486" s="170" t="str">
        <f t="shared" si="41"/>
        <v/>
      </c>
      <c r="AD486" s="170" t="str">
        <f t="shared" si="42"/>
        <v/>
      </c>
    </row>
    <row r="487" spans="1:30" s="170" customFormat="1" ht="20.399999999999999">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39"/>
        <v/>
      </c>
      <c r="T487" s="155" t="str">
        <f ca="1">IF(B487="","",IF(ISERROR(MATCH($J487,SorP!$B$1:$B$6226,0)),"",INDIRECT("'SorP'!$A$"&amp;MATCH($S487&amp;$J487,SorP!C:C,0))))</f>
        <v/>
      </c>
      <c r="U487" s="168"/>
      <c r="V487" s="169" t="e">
        <f>IF(C487="",NA(),MATCH($B487&amp;$C487,'Smelter Look-up'!$J:$J,0))</f>
        <v>#N/A</v>
      </c>
      <c r="X487" s="170">
        <f t="shared" ca="1" si="38"/>
        <v>0</v>
      </c>
      <c r="AB487" s="313" t="str">
        <f t="shared" si="40"/>
        <v/>
      </c>
      <c r="AC487" s="170" t="str">
        <f t="shared" si="41"/>
        <v/>
      </c>
      <c r="AD487" s="170" t="str">
        <f t="shared" si="42"/>
        <v/>
      </c>
    </row>
    <row r="488" spans="1:30" s="170" customFormat="1" ht="20.399999999999999">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39"/>
        <v/>
      </c>
      <c r="T488" s="155" t="str">
        <f ca="1">IF(B488="","",IF(ISERROR(MATCH($J488,SorP!$B$1:$B$6226,0)),"",INDIRECT("'SorP'!$A$"&amp;MATCH($S488&amp;$J488,SorP!C:C,0))))</f>
        <v/>
      </c>
      <c r="U488" s="168"/>
      <c r="V488" s="169" t="e">
        <f>IF(C488="",NA(),MATCH($B488&amp;$C488,'Smelter Look-up'!$J:$J,0))</f>
        <v>#N/A</v>
      </c>
      <c r="X488" s="170">
        <f t="shared" ca="1" si="38"/>
        <v>0</v>
      </c>
      <c r="AB488" s="313" t="str">
        <f t="shared" si="40"/>
        <v/>
      </c>
      <c r="AC488" s="170" t="str">
        <f t="shared" si="41"/>
        <v/>
      </c>
      <c r="AD488" s="170" t="str">
        <f t="shared" si="42"/>
        <v/>
      </c>
    </row>
    <row r="489" spans="1:30" s="170" customFormat="1" ht="20.399999999999999">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39"/>
        <v/>
      </c>
      <c r="T489" s="155" t="str">
        <f ca="1">IF(B489="","",IF(ISERROR(MATCH($J489,SorP!$B$1:$B$6226,0)),"",INDIRECT("'SorP'!$A$"&amp;MATCH($S489&amp;$J489,SorP!C:C,0))))</f>
        <v/>
      </c>
      <c r="U489" s="168"/>
      <c r="V489" s="169" t="e">
        <f>IF(C489="",NA(),MATCH($B489&amp;$C489,'Smelter Look-up'!$J:$J,0))</f>
        <v>#N/A</v>
      </c>
      <c r="X489" s="170">
        <f t="shared" ca="1" si="38"/>
        <v>0</v>
      </c>
      <c r="AB489" s="313" t="str">
        <f t="shared" si="40"/>
        <v/>
      </c>
      <c r="AC489" s="170" t="str">
        <f t="shared" si="41"/>
        <v/>
      </c>
      <c r="AD489" s="170" t="str">
        <f t="shared" si="42"/>
        <v/>
      </c>
    </row>
    <row r="490" spans="1:30" s="170" customFormat="1" ht="20.399999999999999">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39"/>
        <v/>
      </c>
      <c r="T490" s="155" t="str">
        <f ca="1">IF(B490="","",IF(ISERROR(MATCH($J490,SorP!$B$1:$B$6226,0)),"",INDIRECT("'SorP'!$A$"&amp;MATCH($S490&amp;$J490,SorP!C:C,0))))</f>
        <v/>
      </c>
      <c r="U490" s="168"/>
      <c r="V490" s="169" t="e">
        <f>IF(C490="",NA(),MATCH($B490&amp;$C490,'Smelter Look-up'!$J:$J,0))</f>
        <v>#N/A</v>
      </c>
      <c r="X490" s="170">
        <f t="shared" ca="1" si="38"/>
        <v>0</v>
      </c>
      <c r="AB490" s="313" t="str">
        <f t="shared" si="40"/>
        <v/>
      </c>
      <c r="AC490" s="170" t="str">
        <f t="shared" si="41"/>
        <v/>
      </c>
      <c r="AD490" s="170" t="str">
        <f t="shared" si="42"/>
        <v/>
      </c>
    </row>
    <row r="491" spans="1:30" s="170" customFormat="1" ht="20.399999999999999">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39"/>
        <v/>
      </c>
      <c r="T491" s="155" t="str">
        <f ca="1">IF(B491="","",IF(ISERROR(MATCH($J491,SorP!$B$1:$B$6226,0)),"",INDIRECT("'SorP'!$A$"&amp;MATCH($S491&amp;$J491,SorP!C:C,0))))</f>
        <v/>
      </c>
      <c r="U491" s="168"/>
      <c r="V491" s="169" t="e">
        <f>IF(C491="",NA(),MATCH($B491&amp;$C491,'Smelter Look-up'!$J:$J,0))</f>
        <v>#N/A</v>
      </c>
      <c r="X491" s="170">
        <f t="shared" ca="1" si="38"/>
        <v>0</v>
      </c>
      <c r="AB491" s="313" t="str">
        <f t="shared" si="40"/>
        <v/>
      </c>
      <c r="AC491" s="170" t="str">
        <f t="shared" si="41"/>
        <v/>
      </c>
      <c r="AD491" s="170" t="str">
        <f t="shared" si="42"/>
        <v/>
      </c>
    </row>
    <row r="492" spans="1:30" s="170" customFormat="1" ht="20.399999999999999">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39"/>
        <v/>
      </c>
      <c r="T492" s="155" t="str">
        <f ca="1">IF(B492="","",IF(ISERROR(MATCH($J492,SorP!$B$1:$B$6226,0)),"",INDIRECT("'SorP'!$A$"&amp;MATCH($S492&amp;$J492,SorP!C:C,0))))</f>
        <v/>
      </c>
      <c r="U492" s="168"/>
      <c r="V492" s="169" t="e">
        <f>IF(C492="",NA(),MATCH($B492&amp;$C492,'Smelter Look-up'!$J:$J,0))</f>
        <v>#N/A</v>
      </c>
      <c r="X492" s="170">
        <f t="shared" ca="1" si="38"/>
        <v>0</v>
      </c>
      <c r="AB492" s="313" t="str">
        <f t="shared" si="40"/>
        <v/>
      </c>
      <c r="AC492" s="170" t="str">
        <f t="shared" si="41"/>
        <v/>
      </c>
      <c r="AD492" s="170" t="str">
        <f t="shared" si="42"/>
        <v/>
      </c>
    </row>
    <row r="493" spans="1:30" s="170" customFormat="1" ht="20.399999999999999">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39"/>
        <v/>
      </c>
      <c r="T493" s="155" t="str">
        <f ca="1">IF(B493="","",IF(ISERROR(MATCH($J493,SorP!$B$1:$B$6226,0)),"",INDIRECT("'SorP'!$A$"&amp;MATCH($S493&amp;$J493,SorP!C:C,0))))</f>
        <v/>
      </c>
      <c r="U493" s="168"/>
      <c r="V493" s="169" t="e">
        <f>IF(C493="",NA(),MATCH($B493&amp;$C493,'Smelter Look-up'!$J:$J,0))</f>
        <v>#N/A</v>
      </c>
      <c r="X493" s="170">
        <f t="shared" ca="1" si="38"/>
        <v>0</v>
      </c>
      <c r="AB493" s="313" t="str">
        <f t="shared" si="40"/>
        <v/>
      </c>
      <c r="AC493" s="170" t="str">
        <f t="shared" si="41"/>
        <v/>
      </c>
      <c r="AD493" s="170" t="str">
        <f t="shared" si="42"/>
        <v/>
      </c>
    </row>
    <row r="494" spans="1:30" s="170" customFormat="1" ht="20.399999999999999">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39"/>
        <v/>
      </c>
      <c r="T494" s="155" t="str">
        <f ca="1">IF(B494="","",IF(ISERROR(MATCH($J494,SorP!$B$1:$B$6226,0)),"",INDIRECT("'SorP'!$A$"&amp;MATCH($S494&amp;$J494,SorP!C:C,0))))</f>
        <v/>
      </c>
      <c r="U494" s="168"/>
      <c r="V494" s="169" t="e">
        <f>IF(C494="",NA(),MATCH($B494&amp;$C494,'Smelter Look-up'!$J:$J,0))</f>
        <v>#N/A</v>
      </c>
      <c r="X494" s="170">
        <f t="shared" ca="1" si="38"/>
        <v>0</v>
      </c>
      <c r="AB494" s="313" t="str">
        <f t="shared" si="40"/>
        <v/>
      </c>
      <c r="AC494" s="170" t="str">
        <f t="shared" si="41"/>
        <v/>
      </c>
      <c r="AD494" s="170" t="str">
        <f t="shared" si="42"/>
        <v/>
      </c>
    </row>
    <row r="495" spans="1:30" s="170" customFormat="1" ht="20.399999999999999">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39"/>
        <v/>
      </c>
      <c r="T495" s="155" t="str">
        <f ca="1">IF(B495="","",IF(ISERROR(MATCH($J495,SorP!$B$1:$B$6226,0)),"",INDIRECT("'SorP'!$A$"&amp;MATCH($S495&amp;$J495,SorP!C:C,0))))</f>
        <v/>
      </c>
      <c r="U495" s="168"/>
      <c r="V495" s="169" t="e">
        <f>IF(C495="",NA(),MATCH($B495&amp;$C495,'Smelter Look-up'!$J:$J,0))</f>
        <v>#N/A</v>
      </c>
      <c r="X495" s="170">
        <f t="shared" ca="1" si="38"/>
        <v>0</v>
      </c>
      <c r="AB495" s="313" t="str">
        <f t="shared" si="40"/>
        <v/>
      </c>
      <c r="AC495" s="170" t="str">
        <f t="shared" si="41"/>
        <v/>
      </c>
      <c r="AD495" s="170" t="str">
        <f t="shared" si="42"/>
        <v/>
      </c>
    </row>
    <row r="496" spans="1:30" s="170" customFormat="1" ht="20.399999999999999">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39"/>
        <v/>
      </c>
      <c r="T496" s="155" t="str">
        <f ca="1">IF(B496="","",IF(ISERROR(MATCH($J496,SorP!$B$1:$B$6226,0)),"",INDIRECT("'SorP'!$A$"&amp;MATCH($S496&amp;$J496,SorP!C:C,0))))</f>
        <v/>
      </c>
      <c r="U496" s="168"/>
      <c r="V496" s="169" t="e">
        <f>IF(C496="",NA(),MATCH($B496&amp;$C496,'Smelter Look-up'!$J:$J,0))</f>
        <v>#N/A</v>
      </c>
      <c r="X496" s="170">
        <f t="shared" ca="1" si="38"/>
        <v>0</v>
      </c>
      <c r="AB496" s="313" t="str">
        <f t="shared" si="40"/>
        <v/>
      </c>
      <c r="AC496" s="170" t="str">
        <f t="shared" si="41"/>
        <v/>
      </c>
      <c r="AD496" s="170" t="str">
        <f t="shared" si="42"/>
        <v/>
      </c>
    </row>
    <row r="497" spans="1:30" s="170" customFormat="1" ht="20.399999999999999">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39"/>
        <v/>
      </c>
      <c r="T497" s="155" t="str">
        <f ca="1">IF(B497="","",IF(ISERROR(MATCH($J497,SorP!$B$1:$B$6226,0)),"",INDIRECT("'SorP'!$A$"&amp;MATCH($S497&amp;$J497,SorP!C:C,0))))</f>
        <v/>
      </c>
      <c r="U497" s="168"/>
      <c r="V497" s="169" t="e">
        <f>IF(C497="",NA(),MATCH($B497&amp;$C497,'Smelter Look-up'!$J:$J,0))</f>
        <v>#N/A</v>
      </c>
      <c r="X497" s="170">
        <f t="shared" ca="1" si="38"/>
        <v>0</v>
      </c>
      <c r="AB497" s="313" t="str">
        <f t="shared" si="40"/>
        <v/>
      </c>
      <c r="AC497" s="170" t="str">
        <f t="shared" si="41"/>
        <v/>
      </c>
      <c r="AD497" s="170" t="str">
        <f t="shared" si="42"/>
        <v/>
      </c>
    </row>
    <row r="498" spans="1:30" s="170" customFormat="1" ht="20.399999999999999">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39"/>
        <v/>
      </c>
      <c r="T498" s="155" t="str">
        <f ca="1">IF(B498="","",IF(ISERROR(MATCH($J498,SorP!$B$1:$B$6226,0)),"",INDIRECT("'SorP'!$A$"&amp;MATCH($S498&amp;$J498,SorP!C:C,0))))</f>
        <v/>
      </c>
      <c r="U498" s="168"/>
      <c r="V498" s="169" t="e">
        <f>IF(C498="",NA(),MATCH($B498&amp;$C498,'Smelter Look-up'!$J:$J,0))</f>
        <v>#N/A</v>
      </c>
      <c r="X498" s="170">
        <f t="shared" ca="1" si="38"/>
        <v>0</v>
      </c>
      <c r="AB498" s="313" t="str">
        <f t="shared" si="40"/>
        <v/>
      </c>
      <c r="AC498" s="170" t="str">
        <f t="shared" si="41"/>
        <v/>
      </c>
      <c r="AD498" s="170" t="str">
        <f t="shared" si="42"/>
        <v/>
      </c>
    </row>
    <row r="499" spans="1:30" s="170" customFormat="1" ht="20.399999999999999">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39"/>
        <v/>
      </c>
      <c r="T499" s="155" t="str">
        <f ca="1">IF(B499="","",IF(ISERROR(MATCH($J499,SorP!$B$1:$B$6226,0)),"",INDIRECT("'SorP'!$A$"&amp;MATCH($S499&amp;$J499,SorP!C:C,0))))</f>
        <v/>
      </c>
      <c r="U499" s="168"/>
      <c r="V499" s="169" t="e">
        <f>IF(C499="",NA(),MATCH($B499&amp;$C499,'Smelter Look-up'!$J:$J,0))</f>
        <v>#N/A</v>
      </c>
      <c r="X499" s="170">
        <f t="shared" ca="1" si="38"/>
        <v>0</v>
      </c>
      <c r="AB499" s="313" t="str">
        <f t="shared" si="40"/>
        <v/>
      </c>
      <c r="AC499" s="170" t="str">
        <f t="shared" si="41"/>
        <v/>
      </c>
      <c r="AD499" s="170" t="str">
        <f t="shared" si="42"/>
        <v/>
      </c>
    </row>
    <row r="500" spans="1:30" s="170" customFormat="1" ht="20.399999999999999">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39"/>
        <v/>
      </c>
      <c r="T500" s="155" t="str">
        <f ca="1">IF(B500="","",IF(ISERROR(MATCH($J500,SorP!$B$1:$B$6226,0)),"",INDIRECT("'SorP'!$A$"&amp;MATCH($S500&amp;$J500,SorP!C:C,0))))</f>
        <v/>
      </c>
      <c r="U500" s="168"/>
      <c r="V500" s="169" t="e">
        <f>IF(C500="",NA(),MATCH($B500&amp;$C500,'Smelter Look-up'!$J:$J,0))</f>
        <v>#N/A</v>
      </c>
      <c r="X500" s="170">
        <f t="shared" ca="1" si="38"/>
        <v>0</v>
      </c>
      <c r="AB500" s="313" t="str">
        <f t="shared" si="40"/>
        <v/>
      </c>
      <c r="AC500" s="170" t="str">
        <f t="shared" si="41"/>
        <v/>
      </c>
      <c r="AD500" s="170" t="str">
        <f t="shared" si="42"/>
        <v/>
      </c>
    </row>
    <row r="501" spans="1:30" s="170" customFormat="1" ht="20.399999999999999">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39"/>
        <v/>
      </c>
      <c r="T501" s="155" t="str">
        <f ca="1">IF(B501="","",IF(ISERROR(MATCH($J501,SorP!$B$1:$B$6226,0)),"",INDIRECT("'SorP'!$A$"&amp;MATCH($S501&amp;$J501,SorP!C:C,0))))</f>
        <v/>
      </c>
      <c r="U501" s="168"/>
      <c r="V501" s="169" t="e">
        <f>IF(C501="",NA(),MATCH($B501&amp;$C501,'Smelter Look-up'!$J:$J,0))</f>
        <v>#N/A</v>
      </c>
      <c r="X501" s="170">
        <f t="shared" ca="1" si="38"/>
        <v>0</v>
      </c>
      <c r="AB501" s="313" t="str">
        <f t="shared" si="40"/>
        <v/>
      </c>
      <c r="AC501" s="170" t="str">
        <f t="shared" si="41"/>
        <v/>
      </c>
      <c r="AD501" s="170" t="str">
        <f t="shared" si="42"/>
        <v/>
      </c>
    </row>
    <row r="502" spans="1:30" s="170" customFormat="1" ht="20.399999999999999">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39"/>
        <v/>
      </c>
      <c r="T502" s="155" t="str">
        <f ca="1">IF(B502="","",IF(ISERROR(MATCH($J502,SorP!$B$1:$B$6226,0)),"",INDIRECT("'SorP'!$A$"&amp;MATCH($S502&amp;$J502,SorP!C:C,0))))</f>
        <v/>
      </c>
      <c r="U502" s="168"/>
      <c r="V502" s="169" t="e">
        <f>IF(C502="",NA(),MATCH($B502&amp;$C502,'Smelter Look-up'!$J:$J,0))</f>
        <v>#N/A</v>
      </c>
      <c r="X502" s="170">
        <f t="shared" ca="1" si="38"/>
        <v>0</v>
      </c>
      <c r="AB502" s="313" t="str">
        <f t="shared" si="40"/>
        <v/>
      </c>
      <c r="AC502" s="170" t="str">
        <f t="shared" si="41"/>
        <v/>
      </c>
      <c r="AD502" s="170" t="str">
        <f t="shared" si="42"/>
        <v/>
      </c>
    </row>
    <row r="503" spans="1:30" s="170" customFormat="1" ht="20.399999999999999">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39"/>
        <v/>
      </c>
      <c r="T503" s="155" t="str">
        <f ca="1">IF(B503="","",IF(ISERROR(MATCH($J503,SorP!$B$1:$B$6226,0)),"",INDIRECT("'SorP'!$A$"&amp;MATCH($S503&amp;$J503,SorP!C:C,0))))</f>
        <v/>
      </c>
      <c r="U503" s="168"/>
      <c r="V503" s="169" t="e">
        <f>IF(C503="",NA(),MATCH($B503&amp;$C503,'Smelter Look-up'!$J:$J,0))</f>
        <v>#N/A</v>
      </c>
      <c r="X503" s="170">
        <f t="shared" ca="1" si="38"/>
        <v>0</v>
      </c>
      <c r="AB503" s="313" t="str">
        <f t="shared" si="40"/>
        <v/>
      </c>
      <c r="AC503" s="170" t="str">
        <f t="shared" si="41"/>
        <v/>
      </c>
      <c r="AD503" s="170" t="str">
        <f t="shared" si="42"/>
        <v/>
      </c>
    </row>
    <row r="504" spans="1:30" s="170" customFormat="1" ht="20.399999999999999">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39"/>
        <v/>
      </c>
      <c r="T504" s="155" t="str">
        <f ca="1">IF(B504="","",IF(ISERROR(MATCH($J504,SorP!$B$1:$B$6226,0)),"",INDIRECT("'SorP'!$A$"&amp;MATCH($S504&amp;$J504,SorP!C:C,0))))</f>
        <v/>
      </c>
      <c r="U504" s="168"/>
      <c r="V504" s="169" t="e">
        <f>IF(C504="",NA(),MATCH($B504&amp;$C504,'Smelter Look-up'!$J:$J,0))</f>
        <v>#N/A</v>
      </c>
      <c r="X504" s="170">
        <f t="shared" ca="1" si="38"/>
        <v>0</v>
      </c>
      <c r="AB504" s="313" t="str">
        <f t="shared" si="40"/>
        <v/>
      </c>
      <c r="AC504" s="170" t="str">
        <f t="shared" si="41"/>
        <v/>
      </c>
      <c r="AD504" s="170" t="str">
        <f t="shared" si="42"/>
        <v/>
      </c>
    </row>
    <row r="505" spans="1:30" s="170" customFormat="1" ht="20.399999999999999">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39"/>
        <v/>
      </c>
      <c r="T505" s="155" t="str">
        <f ca="1">IF(B505="","",IF(ISERROR(MATCH($J505,SorP!$B$1:$B$6226,0)),"",INDIRECT("'SorP'!$A$"&amp;MATCH($S505&amp;$J505,SorP!C:C,0))))</f>
        <v/>
      </c>
      <c r="U505" s="168"/>
      <c r="V505" s="169" t="e">
        <f>IF(C505="",NA(),MATCH($B505&amp;$C505,'Smelter Look-up'!$J:$J,0))</f>
        <v>#N/A</v>
      </c>
      <c r="X505" s="170">
        <f t="shared" ca="1" si="38"/>
        <v>0</v>
      </c>
      <c r="AB505" s="313" t="str">
        <f t="shared" si="40"/>
        <v/>
      </c>
      <c r="AC505" s="170" t="str">
        <f t="shared" si="41"/>
        <v/>
      </c>
      <c r="AD505" s="170" t="str">
        <f t="shared" si="42"/>
        <v/>
      </c>
    </row>
    <row r="506" spans="1:30" s="170" customFormat="1" ht="20.399999999999999">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39"/>
        <v/>
      </c>
      <c r="T506" s="155" t="str">
        <f ca="1">IF(B506="","",IF(ISERROR(MATCH($J506,SorP!$B$1:$B$6226,0)),"",INDIRECT("'SorP'!$A$"&amp;MATCH($S506&amp;$J506,SorP!C:C,0))))</f>
        <v/>
      </c>
      <c r="U506" s="168"/>
      <c r="V506" s="169" t="e">
        <f>IF(C506="",NA(),MATCH($B506&amp;$C506,'Smelter Look-up'!$J:$J,0))</f>
        <v>#N/A</v>
      </c>
      <c r="X506" s="170">
        <f t="shared" ca="1" si="38"/>
        <v>0</v>
      </c>
      <c r="AB506" s="313" t="str">
        <f t="shared" si="40"/>
        <v/>
      </c>
      <c r="AC506" s="170" t="str">
        <f t="shared" si="41"/>
        <v/>
      </c>
      <c r="AD506" s="170" t="str">
        <f t="shared" si="42"/>
        <v/>
      </c>
    </row>
    <row r="507" spans="1:30" s="170" customFormat="1" ht="20.399999999999999">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39"/>
        <v/>
      </c>
      <c r="T507" s="155" t="str">
        <f ca="1">IF(B507="","",IF(ISERROR(MATCH($J507,SorP!$B$1:$B$6226,0)),"",INDIRECT("'SorP'!$A$"&amp;MATCH($S507&amp;$J507,SorP!C:C,0))))</f>
        <v/>
      </c>
      <c r="U507" s="168"/>
      <c r="V507" s="169" t="e">
        <f>IF(C507="",NA(),MATCH($B507&amp;$C507,'Smelter Look-up'!$J:$J,0))</f>
        <v>#N/A</v>
      </c>
      <c r="X507" s="170">
        <f t="shared" ca="1" si="38"/>
        <v>0</v>
      </c>
      <c r="AB507" s="313" t="str">
        <f t="shared" si="40"/>
        <v/>
      </c>
      <c r="AC507" s="170" t="str">
        <f t="shared" si="41"/>
        <v/>
      </c>
      <c r="AD507" s="170" t="str">
        <f t="shared" si="42"/>
        <v/>
      </c>
    </row>
    <row r="508" spans="1:30" s="170" customFormat="1" ht="20.399999999999999">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39"/>
        <v/>
      </c>
      <c r="T508" s="155" t="str">
        <f ca="1">IF(B508="","",IF(ISERROR(MATCH($J508,SorP!$B$1:$B$6226,0)),"",INDIRECT("'SorP'!$A$"&amp;MATCH($S508&amp;$J508,SorP!C:C,0))))</f>
        <v/>
      </c>
      <c r="U508" s="168"/>
      <c r="V508" s="169" t="e">
        <f>IF(C508="",NA(),MATCH($B508&amp;$C508,'Smelter Look-up'!$J:$J,0))</f>
        <v>#N/A</v>
      </c>
      <c r="X508" s="170">
        <f t="shared" ca="1" si="38"/>
        <v>0</v>
      </c>
      <c r="AB508" s="313" t="str">
        <f t="shared" si="40"/>
        <v/>
      </c>
      <c r="AC508" s="170" t="str">
        <f t="shared" si="41"/>
        <v/>
      </c>
      <c r="AD508" s="170" t="str">
        <f t="shared" si="42"/>
        <v/>
      </c>
    </row>
    <row r="509" spans="1:30" s="170" customFormat="1" ht="20.399999999999999">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39"/>
        <v/>
      </c>
      <c r="T509" s="155" t="str">
        <f ca="1">IF(B509="","",IF(ISERROR(MATCH($J509,SorP!$B$1:$B$6226,0)),"",INDIRECT("'SorP'!$A$"&amp;MATCH($S509&amp;$J509,SorP!C:C,0))))</f>
        <v/>
      </c>
      <c r="U509" s="168"/>
      <c r="V509" s="169" t="e">
        <f>IF(C509="",NA(),MATCH($B509&amp;$C509,'Smelter Look-up'!$J:$J,0))</f>
        <v>#N/A</v>
      </c>
      <c r="X509" s="170">
        <f t="shared" ca="1" si="38"/>
        <v>0</v>
      </c>
      <c r="AB509" s="313" t="str">
        <f t="shared" si="40"/>
        <v/>
      </c>
      <c r="AC509" s="170" t="str">
        <f t="shared" si="41"/>
        <v/>
      </c>
      <c r="AD509" s="170" t="str">
        <f t="shared" si="42"/>
        <v/>
      </c>
    </row>
    <row r="510" spans="1:30" s="170" customFormat="1" ht="20.399999999999999">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39"/>
        <v/>
      </c>
      <c r="T510" s="155" t="str">
        <f ca="1">IF(B510="","",IF(ISERROR(MATCH($J510,SorP!$B$1:$B$6226,0)),"",INDIRECT("'SorP'!$A$"&amp;MATCH($S510&amp;$J510,SorP!C:C,0))))</f>
        <v/>
      </c>
      <c r="U510" s="168"/>
      <c r="V510" s="169" t="e">
        <f>IF(C510="",NA(),MATCH($B510&amp;$C510,'Smelter Look-up'!$J:$J,0))</f>
        <v>#N/A</v>
      </c>
      <c r="X510" s="170">
        <f t="shared" ca="1" si="38"/>
        <v>0</v>
      </c>
      <c r="AB510" s="313" t="str">
        <f t="shared" si="40"/>
        <v/>
      </c>
      <c r="AC510" s="170" t="str">
        <f t="shared" si="41"/>
        <v/>
      </c>
      <c r="AD510" s="170" t="str">
        <f t="shared" si="42"/>
        <v/>
      </c>
    </row>
    <row r="511" spans="1:30" s="170" customFormat="1" ht="20.399999999999999">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39"/>
        <v/>
      </c>
      <c r="T511" s="155" t="str">
        <f ca="1">IF(B511="","",IF(ISERROR(MATCH($J511,SorP!$B$1:$B$6226,0)),"",INDIRECT("'SorP'!$A$"&amp;MATCH($S511&amp;$J511,SorP!C:C,0))))</f>
        <v/>
      </c>
      <c r="U511" s="168"/>
      <c r="V511" s="169" t="e">
        <f>IF(C511="",NA(),MATCH($B511&amp;$C511,'Smelter Look-up'!$J:$J,0))</f>
        <v>#N/A</v>
      </c>
      <c r="X511" s="170">
        <f t="shared" ref="X511:X574" ca="1" si="43">IF(AND(C511="Smelter not listed",OR(LEN(D511)=0,LEN(E511)=0)),1,0)</f>
        <v>0</v>
      </c>
      <c r="AB511" s="313" t="str">
        <f t="shared" si="40"/>
        <v/>
      </c>
      <c r="AC511" s="170" t="str">
        <f t="shared" si="41"/>
        <v/>
      </c>
      <c r="AD511" s="170" t="str">
        <f t="shared" si="42"/>
        <v/>
      </c>
    </row>
    <row r="512" spans="1:30" s="170" customFormat="1" ht="20.399999999999999">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ref="S512:S575" ca="1" si="44">IF(B512="","",IF(ISERROR(MATCH($E512,CL,0)),"Unknown",INDIRECT("'C'!$A$"&amp;MATCH($E512,CL,0)+1)))</f>
        <v/>
      </c>
      <c r="T512" s="155" t="str">
        <f ca="1">IF(B512="","",IF(ISERROR(MATCH($J512,SorP!$B$1:$B$6226,0)),"",INDIRECT("'SorP'!$A$"&amp;MATCH($S512&amp;$J512,SorP!C:C,0))))</f>
        <v/>
      </c>
      <c r="U512" s="168"/>
      <c r="V512" s="169" t="e">
        <f>IF(C512="",NA(),MATCH($B512&amp;$C512,'Smelter Look-up'!$J:$J,0))</f>
        <v>#N/A</v>
      </c>
      <c r="X512" s="170">
        <f t="shared" ca="1" si="43"/>
        <v>0</v>
      </c>
      <c r="AB512" s="313" t="str">
        <f t="shared" si="40"/>
        <v/>
      </c>
      <c r="AC512" s="170" t="str">
        <f t="shared" si="41"/>
        <v/>
      </c>
      <c r="AD512" s="170" t="str">
        <f t="shared" si="42"/>
        <v/>
      </c>
    </row>
    <row r="513" spans="1:30" s="170" customFormat="1" ht="20.399999999999999">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44"/>
        <v/>
      </c>
      <c r="T513" s="155" t="str">
        <f ca="1">IF(B513="","",IF(ISERROR(MATCH($J513,SorP!$B$1:$B$6226,0)),"",INDIRECT("'SorP'!$A$"&amp;MATCH($S513&amp;$J513,SorP!C:C,0))))</f>
        <v/>
      </c>
      <c r="U513" s="168"/>
      <c r="V513" s="169" t="e">
        <f>IF(C513="",NA(),MATCH($B513&amp;$C513,'Smelter Look-up'!$J:$J,0))</f>
        <v>#N/A</v>
      </c>
      <c r="X513" s="170">
        <f t="shared" ca="1" si="43"/>
        <v>0</v>
      </c>
      <c r="AB513" s="313" t="str">
        <f t="shared" si="40"/>
        <v/>
      </c>
      <c r="AC513" s="170" t="str">
        <f t="shared" si="41"/>
        <v/>
      </c>
      <c r="AD513" s="170" t="str">
        <f t="shared" si="42"/>
        <v/>
      </c>
    </row>
    <row r="514" spans="1:30" s="170" customFormat="1" ht="20.399999999999999">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44"/>
        <v/>
      </c>
      <c r="T514" s="155" t="str">
        <f ca="1">IF(B514="","",IF(ISERROR(MATCH($J514,SorP!$B$1:$B$6226,0)),"",INDIRECT("'SorP'!$A$"&amp;MATCH($S514&amp;$J514,SorP!C:C,0))))</f>
        <v/>
      </c>
      <c r="U514" s="168"/>
      <c r="V514" s="169" t="e">
        <f>IF(C514="",NA(),MATCH($B514&amp;$C514,'Smelter Look-up'!$J:$J,0))</f>
        <v>#N/A</v>
      </c>
      <c r="X514" s="170">
        <f t="shared" ca="1" si="43"/>
        <v>0</v>
      </c>
      <c r="AB514" s="313" t="str">
        <f t="shared" si="40"/>
        <v/>
      </c>
      <c r="AC514" s="170" t="str">
        <f t="shared" si="41"/>
        <v/>
      </c>
      <c r="AD514" s="170" t="str">
        <f t="shared" si="42"/>
        <v/>
      </c>
    </row>
    <row r="515" spans="1:30" s="170" customFormat="1" ht="20.399999999999999">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44"/>
        <v/>
      </c>
      <c r="T515" s="155" t="str">
        <f ca="1">IF(B515="","",IF(ISERROR(MATCH($J515,SorP!$B$1:$B$6226,0)),"",INDIRECT("'SorP'!$A$"&amp;MATCH($S515&amp;$J515,SorP!C:C,0))))</f>
        <v/>
      </c>
      <c r="U515" s="168"/>
      <c r="V515" s="169" t="e">
        <f>IF(C515="",NA(),MATCH($B515&amp;$C515,'Smelter Look-up'!$J:$J,0))</f>
        <v>#N/A</v>
      </c>
      <c r="X515" s="170">
        <f t="shared" ca="1" si="43"/>
        <v>0</v>
      </c>
      <c r="AB515" s="313" t="str">
        <f t="shared" si="40"/>
        <v/>
      </c>
      <c r="AC515" s="170" t="str">
        <f t="shared" si="41"/>
        <v/>
      </c>
      <c r="AD515" s="170" t="str">
        <f t="shared" si="42"/>
        <v/>
      </c>
    </row>
    <row r="516" spans="1:30" s="170" customFormat="1" ht="20.399999999999999">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44"/>
        <v/>
      </c>
      <c r="T516" s="155" t="str">
        <f ca="1">IF(B516="","",IF(ISERROR(MATCH($J516,SorP!$B$1:$B$6226,0)),"",INDIRECT("'SorP'!$A$"&amp;MATCH($S516&amp;$J516,SorP!C:C,0))))</f>
        <v/>
      </c>
      <c r="U516" s="168"/>
      <c r="V516" s="169" t="e">
        <f>IF(C516="",NA(),MATCH($B516&amp;$C516,'Smelter Look-up'!$J:$J,0))</f>
        <v>#N/A</v>
      </c>
      <c r="X516" s="170">
        <f t="shared" ca="1" si="43"/>
        <v>0</v>
      </c>
      <c r="AB516" s="313" t="str">
        <f t="shared" si="40"/>
        <v/>
      </c>
      <c r="AC516" s="170" t="str">
        <f t="shared" si="41"/>
        <v/>
      </c>
      <c r="AD516" s="170" t="str">
        <f t="shared" si="42"/>
        <v/>
      </c>
    </row>
    <row r="517" spans="1:30" s="170" customFormat="1" ht="20.399999999999999">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44"/>
        <v/>
      </c>
      <c r="T517" s="155" t="str">
        <f ca="1">IF(B517="","",IF(ISERROR(MATCH($J517,SorP!$B$1:$B$6226,0)),"",INDIRECT("'SorP'!$A$"&amp;MATCH($S517&amp;$J517,SorP!C:C,0))))</f>
        <v/>
      </c>
      <c r="U517" s="168"/>
      <c r="V517" s="169" t="e">
        <f>IF(C517="",NA(),MATCH($B517&amp;$C517,'Smelter Look-up'!$J:$J,0))</f>
        <v>#N/A</v>
      </c>
      <c r="X517" s="170">
        <f t="shared" ca="1" si="43"/>
        <v>0</v>
      </c>
      <c r="AB517" s="313" t="str">
        <f t="shared" si="40"/>
        <v/>
      </c>
      <c r="AC517" s="170" t="str">
        <f t="shared" si="41"/>
        <v/>
      </c>
      <c r="AD517" s="170" t="str">
        <f t="shared" si="42"/>
        <v/>
      </c>
    </row>
    <row r="518" spans="1:30" s="170" customFormat="1" ht="20.399999999999999">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44"/>
        <v/>
      </c>
      <c r="T518" s="155" t="str">
        <f ca="1">IF(B518="","",IF(ISERROR(MATCH($J518,SorP!$B$1:$B$6226,0)),"",INDIRECT("'SorP'!$A$"&amp;MATCH($S518&amp;$J518,SorP!C:C,0))))</f>
        <v/>
      </c>
      <c r="U518" s="168"/>
      <c r="V518" s="169" t="e">
        <f>IF(C518="",NA(),MATCH($B518&amp;$C518,'Smelter Look-up'!$J:$J,0))</f>
        <v>#N/A</v>
      </c>
      <c r="X518" s="170">
        <f t="shared" ca="1" si="43"/>
        <v>0</v>
      </c>
      <c r="AB518" s="313" t="str">
        <f t="shared" ref="AB518:AB581" si="45">IF(C518="","",B518)</f>
        <v/>
      </c>
      <c r="AC518" s="170" t="str">
        <f t="shared" ref="AC518:AC581" si="46">B518</f>
        <v/>
      </c>
      <c r="AD518" s="170" t="str">
        <f t="shared" ref="AD518:AD581" si="47">IF(C518="Smelter not listed",D518,C518)</f>
        <v/>
      </c>
    </row>
    <row r="519" spans="1:30" s="170" customFormat="1" ht="20.399999999999999">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44"/>
        <v/>
      </c>
      <c r="T519" s="155" t="str">
        <f ca="1">IF(B519="","",IF(ISERROR(MATCH($J519,SorP!$B$1:$B$6226,0)),"",INDIRECT("'SorP'!$A$"&amp;MATCH($S519&amp;$J519,SorP!C:C,0))))</f>
        <v/>
      </c>
      <c r="U519" s="168"/>
      <c r="V519" s="169" t="e">
        <f>IF(C519="",NA(),MATCH($B519&amp;$C519,'Smelter Look-up'!$J:$J,0))</f>
        <v>#N/A</v>
      </c>
      <c r="X519" s="170">
        <f t="shared" ca="1" si="43"/>
        <v>0</v>
      </c>
      <c r="AB519" s="313" t="str">
        <f t="shared" si="45"/>
        <v/>
      </c>
      <c r="AC519" s="170" t="str">
        <f t="shared" si="46"/>
        <v/>
      </c>
      <c r="AD519" s="170" t="str">
        <f t="shared" si="47"/>
        <v/>
      </c>
    </row>
    <row r="520" spans="1:30" s="170" customFormat="1" ht="20.399999999999999">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44"/>
        <v/>
      </c>
      <c r="T520" s="155" t="str">
        <f ca="1">IF(B520="","",IF(ISERROR(MATCH($J520,SorP!$B$1:$B$6226,0)),"",INDIRECT("'SorP'!$A$"&amp;MATCH($S520&amp;$J520,SorP!C:C,0))))</f>
        <v/>
      </c>
      <c r="U520" s="168"/>
      <c r="V520" s="169" t="e">
        <f>IF(C520="",NA(),MATCH($B520&amp;$C520,'Smelter Look-up'!$J:$J,0))</f>
        <v>#N/A</v>
      </c>
      <c r="X520" s="170">
        <f t="shared" ca="1" si="43"/>
        <v>0</v>
      </c>
      <c r="AB520" s="313" t="str">
        <f t="shared" si="45"/>
        <v/>
      </c>
      <c r="AC520" s="170" t="str">
        <f t="shared" si="46"/>
        <v/>
      </c>
      <c r="AD520" s="170" t="str">
        <f t="shared" si="47"/>
        <v/>
      </c>
    </row>
    <row r="521" spans="1:30" s="170" customFormat="1" ht="20.399999999999999">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44"/>
        <v/>
      </c>
      <c r="T521" s="155" t="str">
        <f ca="1">IF(B521="","",IF(ISERROR(MATCH($J521,SorP!$B$1:$B$6226,0)),"",INDIRECT("'SorP'!$A$"&amp;MATCH($S521&amp;$J521,SorP!C:C,0))))</f>
        <v/>
      </c>
      <c r="U521" s="168"/>
      <c r="V521" s="169" t="e">
        <f>IF(C521="",NA(),MATCH($B521&amp;$C521,'Smelter Look-up'!$J:$J,0))</f>
        <v>#N/A</v>
      </c>
      <c r="X521" s="170">
        <f t="shared" ca="1" si="43"/>
        <v>0</v>
      </c>
      <c r="AB521" s="313" t="str">
        <f t="shared" si="45"/>
        <v/>
      </c>
      <c r="AC521" s="170" t="str">
        <f t="shared" si="46"/>
        <v/>
      </c>
      <c r="AD521" s="170" t="str">
        <f t="shared" si="47"/>
        <v/>
      </c>
    </row>
    <row r="522" spans="1:30" s="170" customFormat="1" ht="20.399999999999999">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44"/>
        <v/>
      </c>
      <c r="T522" s="155" t="str">
        <f ca="1">IF(B522="","",IF(ISERROR(MATCH($J522,SorP!$B$1:$B$6226,0)),"",INDIRECT("'SorP'!$A$"&amp;MATCH($S522&amp;$J522,SorP!C:C,0))))</f>
        <v/>
      </c>
      <c r="U522" s="168"/>
      <c r="V522" s="169" t="e">
        <f>IF(C522="",NA(),MATCH($B522&amp;$C522,'Smelter Look-up'!$J:$J,0))</f>
        <v>#N/A</v>
      </c>
      <c r="X522" s="170">
        <f t="shared" ca="1" si="43"/>
        <v>0</v>
      </c>
      <c r="AB522" s="313" t="str">
        <f t="shared" si="45"/>
        <v/>
      </c>
      <c r="AC522" s="170" t="str">
        <f t="shared" si="46"/>
        <v/>
      </c>
      <c r="AD522" s="170" t="str">
        <f t="shared" si="47"/>
        <v/>
      </c>
    </row>
    <row r="523" spans="1:30" s="170" customFormat="1" ht="20.399999999999999">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44"/>
        <v/>
      </c>
      <c r="T523" s="155" t="str">
        <f ca="1">IF(B523="","",IF(ISERROR(MATCH($J523,SorP!$B$1:$B$6226,0)),"",INDIRECT("'SorP'!$A$"&amp;MATCH($S523&amp;$J523,SorP!C:C,0))))</f>
        <v/>
      </c>
      <c r="U523" s="168"/>
      <c r="V523" s="169" t="e">
        <f>IF(C523="",NA(),MATCH($B523&amp;$C523,'Smelter Look-up'!$J:$J,0))</f>
        <v>#N/A</v>
      </c>
      <c r="X523" s="170">
        <f t="shared" ca="1" si="43"/>
        <v>0</v>
      </c>
      <c r="AB523" s="313" t="str">
        <f t="shared" si="45"/>
        <v/>
      </c>
      <c r="AC523" s="170" t="str">
        <f t="shared" si="46"/>
        <v/>
      </c>
      <c r="AD523" s="170" t="str">
        <f t="shared" si="47"/>
        <v/>
      </c>
    </row>
    <row r="524" spans="1:30" s="170" customFormat="1" ht="20.399999999999999">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44"/>
        <v/>
      </c>
      <c r="T524" s="155" t="str">
        <f ca="1">IF(B524="","",IF(ISERROR(MATCH($J524,SorP!$B$1:$B$6226,0)),"",INDIRECT("'SorP'!$A$"&amp;MATCH($S524&amp;$J524,SorP!C:C,0))))</f>
        <v/>
      </c>
      <c r="U524" s="168"/>
      <c r="V524" s="169" t="e">
        <f>IF(C524="",NA(),MATCH($B524&amp;$C524,'Smelter Look-up'!$J:$J,0))</f>
        <v>#N/A</v>
      </c>
      <c r="X524" s="170">
        <f t="shared" ca="1" si="43"/>
        <v>0</v>
      </c>
      <c r="AB524" s="313" t="str">
        <f t="shared" si="45"/>
        <v/>
      </c>
      <c r="AC524" s="170" t="str">
        <f t="shared" si="46"/>
        <v/>
      </c>
      <c r="AD524" s="170" t="str">
        <f t="shared" si="47"/>
        <v/>
      </c>
    </row>
    <row r="525" spans="1:30" s="170" customFormat="1" ht="20.399999999999999">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44"/>
        <v/>
      </c>
      <c r="T525" s="155" t="str">
        <f ca="1">IF(B525="","",IF(ISERROR(MATCH($J525,SorP!$B$1:$B$6226,0)),"",INDIRECT("'SorP'!$A$"&amp;MATCH($S525&amp;$J525,SorP!C:C,0))))</f>
        <v/>
      </c>
      <c r="U525" s="168"/>
      <c r="V525" s="169" t="e">
        <f>IF(C525="",NA(),MATCH($B525&amp;$C525,'Smelter Look-up'!$J:$J,0))</f>
        <v>#N/A</v>
      </c>
      <c r="X525" s="170">
        <f t="shared" ca="1" si="43"/>
        <v>0</v>
      </c>
      <c r="AB525" s="313" t="str">
        <f t="shared" si="45"/>
        <v/>
      </c>
      <c r="AC525" s="170" t="str">
        <f t="shared" si="46"/>
        <v/>
      </c>
      <c r="AD525" s="170" t="str">
        <f t="shared" si="47"/>
        <v/>
      </c>
    </row>
    <row r="526" spans="1:30" s="170" customFormat="1" ht="20.399999999999999">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44"/>
        <v/>
      </c>
      <c r="T526" s="155" t="str">
        <f ca="1">IF(B526="","",IF(ISERROR(MATCH($J526,SorP!$B$1:$B$6226,0)),"",INDIRECT("'SorP'!$A$"&amp;MATCH($S526&amp;$J526,SorP!C:C,0))))</f>
        <v/>
      </c>
      <c r="U526" s="168"/>
      <c r="V526" s="169" t="e">
        <f>IF(C526="",NA(),MATCH($B526&amp;$C526,'Smelter Look-up'!$J:$J,0))</f>
        <v>#N/A</v>
      </c>
      <c r="X526" s="170">
        <f t="shared" ca="1" si="43"/>
        <v>0</v>
      </c>
      <c r="AB526" s="313" t="str">
        <f t="shared" si="45"/>
        <v/>
      </c>
      <c r="AC526" s="170" t="str">
        <f t="shared" si="46"/>
        <v/>
      </c>
      <c r="AD526" s="170" t="str">
        <f t="shared" si="47"/>
        <v/>
      </c>
    </row>
    <row r="527" spans="1:30" s="170" customFormat="1" ht="20.399999999999999">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44"/>
        <v/>
      </c>
      <c r="T527" s="155" t="str">
        <f ca="1">IF(B527="","",IF(ISERROR(MATCH($J527,SorP!$B$1:$B$6226,0)),"",INDIRECT("'SorP'!$A$"&amp;MATCH($S527&amp;$J527,SorP!C:C,0))))</f>
        <v/>
      </c>
      <c r="U527" s="168"/>
      <c r="V527" s="169" t="e">
        <f>IF(C527="",NA(),MATCH($B527&amp;$C527,'Smelter Look-up'!$J:$J,0))</f>
        <v>#N/A</v>
      </c>
      <c r="X527" s="170">
        <f t="shared" ca="1" si="43"/>
        <v>0</v>
      </c>
      <c r="AB527" s="313" t="str">
        <f t="shared" si="45"/>
        <v/>
      </c>
      <c r="AC527" s="170" t="str">
        <f t="shared" si="46"/>
        <v/>
      </c>
      <c r="AD527" s="170" t="str">
        <f t="shared" si="47"/>
        <v/>
      </c>
    </row>
    <row r="528" spans="1:30" s="170" customFormat="1" ht="20.399999999999999">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44"/>
        <v/>
      </c>
      <c r="T528" s="155" t="str">
        <f ca="1">IF(B528="","",IF(ISERROR(MATCH($J528,SorP!$B$1:$B$6226,0)),"",INDIRECT("'SorP'!$A$"&amp;MATCH($S528&amp;$J528,SorP!C:C,0))))</f>
        <v/>
      </c>
      <c r="U528" s="168"/>
      <c r="V528" s="169" t="e">
        <f>IF(C528="",NA(),MATCH($B528&amp;$C528,'Smelter Look-up'!$J:$J,0))</f>
        <v>#N/A</v>
      </c>
      <c r="X528" s="170">
        <f t="shared" ca="1" si="43"/>
        <v>0</v>
      </c>
      <c r="AB528" s="313" t="str">
        <f t="shared" si="45"/>
        <v/>
      </c>
      <c r="AC528" s="170" t="str">
        <f t="shared" si="46"/>
        <v/>
      </c>
      <c r="AD528" s="170" t="str">
        <f t="shared" si="47"/>
        <v/>
      </c>
    </row>
    <row r="529" spans="1:30" s="170" customFormat="1" ht="20.399999999999999">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44"/>
        <v/>
      </c>
      <c r="T529" s="155" t="str">
        <f ca="1">IF(B529="","",IF(ISERROR(MATCH($J529,SorP!$B$1:$B$6226,0)),"",INDIRECT("'SorP'!$A$"&amp;MATCH($S529&amp;$J529,SorP!C:C,0))))</f>
        <v/>
      </c>
      <c r="U529" s="168"/>
      <c r="V529" s="169" t="e">
        <f>IF(C529="",NA(),MATCH($B529&amp;$C529,'Smelter Look-up'!$J:$J,0))</f>
        <v>#N/A</v>
      </c>
      <c r="X529" s="170">
        <f t="shared" ca="1" si="43"/>
        <v>0</v>
      </c>
      <c r="AB529" s="313" t="str">
        <f t="shared" si="45"/>
        <v/>
      </c>
      <c r="AC529" s="170" t="str">
        <f t="shared" si="46"/>
        <v/>
      </c>
      <c r="AD529" s="170" t="str">
        <f t="shared" si="47"/>
        <v/>
      </c>
    </row>
    <row r="530" spans="1:30" s="170" customFormat="1" ht="20.399999999999999">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44"/>
        <v/>
      </c>
      <c r="T530" s="155" t="str">
        <f ca="1">IF(B530="","",IF(ISERROR(MATCH($J530,SorP!$B$1:$B$6226,0)),"",INDIRECT("'SorP'!$A$"&amp;MATCH($S530&amp;$J530,SorP!C:C,0))))</f>
        <v/>
      </c>
      <c r="U530" s="168"/>
      <c r="V530" s="169" t="e">
        <f>IF(C530="",NA(),MATCH($B530&amp;$C530,'Smelter Look-up'!$J:$J,0))</f>
        <v>#N/A</v>
      </c>
      <c r="X530" s="170">
        <f t="shared" ca="1" si="43"/>
        <v>0</v>
      </c>
      <c r="AB530" s="313" t="str">
        <f t="shared" si="45"/>
        <v/>
      </c>
      <c r="AC530" s="170" t="str">
        <f t="shared" si="46"/>
        <v/>
      </c>
      <c r="AD530" s="170" t="str">
        <f t="shared" si="47"/>
        <v/>
      </c>
    </row>
    <row r="531" spans="1:30" s="170" customFormat="1" ht="20.399999999999999">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44"/>
        <v/>
      </c>
      <c r="T531" s="155" t="str">
        <f ca="1">IF(B531="","",IF(ISERROR(MATCH($J531,SorP!$B$1:$B$6226,0)),"",INDIRECT("'SorP'!$A$"&amp;MATCH($S531&amp;$J531,SorP!C:C,0))))</f>
        <v/>
      </c>
      <c r="U531" s="168"/>
      <c r="V531" s="169" t="e">
        <f>IF(C531="",NA(),MATCH($B531&amp;$C531,'Smelter Look-up'!$J:$J,0))</f>
        <v>#N/A</v>
      </c>
      <c r="X531" s="170">
        <f t="shared" ca="1" si="43"/>
        <v>0</v>
      </c>
      <c r="AB531" s="313" t="str">
        <f t="shared" si="45"/>
        <v/>
      </c>
      <c r="AC531" s="170" t="str">
        <f t="shared" si="46"/>
        <v/>
      </c>
      <c r="AD531" s="170" t="str">
        <f t="shared" si="47"/>
        <v/>
      </c>
    </row>
    <row r="532" spans="1:30" s="170" customFormat="1" ht="20.399999999999999">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44"/>
        <v/>
      </c>
      <c r="T532" s="155" t="str">
        <f ca="1">IF(B532="","",IF(ISERROR(MATCH($J532,SorP!$B$1:$B$6226,0)),"",INDIRECT("'SorP'!$A$"&amp;MATCH($S532&amp;$J532,SorP!C:C,0))))</f>
        <v/>
      </c>
      <c r="U532" s="168"/>
      <c r="V532" s="169" t="e">
        <f>IF(C532="",NA(),MATCH($B532&amp;$C532,'Smelter Look-up'!$J:$J,0))</f>
        <v>#N/A</v>
      </c>
      <c r="X532" s="170">
        <f t="shared" ca="1" si="43"/>
        <v>0</v>
      </c>
      <c r="AB532" s="313" t="str">
        <f t="shared" si="45"/>
        <v/>
      </c>
      <c r="AC532" s="170" t="str">
        <f t="shared" si="46"/>
        <v/>
      </c>
      <c r="AD532" s="170" t="str">
        <f t="shared" si="47"/>
        <v/>
      </c>
    </row>
    <row r="533" spans="1:30" s="170" customFormat="1" ht="20.399999999999999">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44"/>
        <v/>
      </c>
      <c r="T533" s="155" t="str">
        <f ca="1">IF(B533="","",IF(ISERROR(MATCH($J533,SorP!$B$1:$B$6226,0)),"",INDIRECT("'SorP'!$A$"&amp;MATCH($S533&amp;$J533,SorP!C:C,0))))</f>
        <v/>
      </c>
      <c r="U533" s="168"/>
      <c r="V533" s="169" t="e">
        <f>IF(C533="",NA(),MATCH($B533&amp;$C533,'Smelter Look-up'!$J:$J,0))</f>
        <v>#N/A</v>
      </c>
      <c r="X533" s="170">
        <f t="shared" ca="1" si="43"/>
        <v>0</v>
      </c>
      <c r="AB533" s="313" t="str">
        <f t="shared" si="45"/>
        <v/>
      </c>
      <c r="AC533" s="170" t="str">
        <f t="shared" si="46"/>
        <v/>
      </c>
      <c r="AD533" s="170" t="str">
        <f t="shared" si="47"/>
        <v/>
      </c>
    </row>
    <row r="534" spans="1:30" s="170" customFormat="1" ht="20.399999999999999">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44"/>
        <v/>
      </c>
      <c r="T534" s="155" t="str">
        <f ca="1">IF(B534="","",IF(ISERROR(MATCH($J534,SorP!$B$1:$B$6226,0)),"",INDIRECT("'SorP'!$A$"&amp;MATCH($S534&amp;$J534,SorP!C:C,0))))</f>
        <v/>
      </c>
      <c r="U534" s="168"/>
      <c r="V534" s="169" t="e">
        <f>IF(C534="",NA(),MATCH($B534&amp;$C534,'Smelter Look-up'!$J:$J,0))</f>
        <v>#N/A</v>
      </c>
      <c r="X534" s="170">
        <f t="shared" ca="1" si="43"/>
        <v>0</v>
      </c>
      <c r="AB534" s="313" t="str">
        <f t="shared" si="45"/>
        <v/>
      </c>
      <c r="AC534" s="170" t="str">
        <f t="shared" si="46"/>
        <v/>
      </c>
      <c r="AD534" s="170" t="str">
        <f t="shared" si="47"/>
        <v/>
      </c>
    </row>
    <row r="535" spans="1:30" s="170" customFormat="1" ht="20.399999999999999">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44"/>
        <v/>
      </c>
      <c r="T535" s="155" t="str">
        <f ca="1">IF(B535="","",IF(ISERROR(MATCH($J535,SorP!$B$1:$B$6226,0)),"",INDIRECT("'SorP'!$A$"&amp;MATCH($S535&amp;$J535,SorP!C:C,0))))</f>
        <v/>
      </c>
      <c r="U535" s="168"/>
      <c r="V535" s="169" t="e">
        <f>IF(C535="",NA(),MATCH($B535&amp;$C535,'Smelter Look-up'!$J:$J,0))</f>
        <v>#N/A</v>
      </c>
      <c r="X535" s="170">
        <f t="shared" ca="1" si="43"/>
        <v>0</v>
      </c>
      <c r="AB535" s="313" t="str">
        <f t="shared" si="45"/>
        <v/>
      </c>
      <c r="AC535" s="170" t="str">
        <f t="shared" si="46"/>
        <v/>
      </c>
      <c r="AD535" s="170" t="str">
        <f t="shared" si="47"/>
        <v/>
      </c>
    </row>
    <row r="536" spans="1:30" s="170" customFormat="1" ht="20.399999999999999">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44"/>
        <v/>
      </c>
      <c r="T536" s="155" t="str">
        <f ca="1">IF(B536="","",IF(ISERROR(MATCH($J536,SorP!$B$1:$B$6226,0)),"",INDIRECT("'SorP'!$A$"&amp;MATCH($S536&amp;$J536,SorP!C:C,0))))</f>
        <v/>
      </c>
      <c r="U536" s="168"/>
      <c r="V536" s="169" t="e">
        <f>IF(C536="",NA(),MATCH($B536&amp;$C536,'Smelter Look-up'!$J:$J,0))</f>
        <v>#N/A</v>
      </c>
      <c r="X536" s="170">
        <f t="shared" ca="1" si="43"/>
        <v>0</v>
      </c>
      <c r="AB536" s="313" t="str">
        <f t="shared" si="45"/>
        <v/>
      </c>
      <c r="AC536" s="170" t="str">
        <f t="shared" si="46"/>
        <v/>
      </c>
      <c r="AD536" s="170" t="str">
        <f t="shared" si="47"/>
        <v/>
      </c>
    </row>
    <row r="537" spans="1:30" s="170" customFormat="1" ht="20.399999999999999">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44"/>
        <v/>
      </c>
      <c r="T537" s="155" t="str">
        <f ca="1">IF(B537="","",IF(ISERROR(MATCH($J537,SorP!$B$1:$B$6226,0)),"",INDIRECT("'SorP'!$A$"&amp;MATCH($S537&amp;$J537,SorP!C:C,0))))</f>
        <v/>
      </c>
      <c r="U537" s="168"/>
      <c r="V537" s="169" t="e">
        <f>IF(C537="",NA(),MATCH($B537&amp;$C537,'Smelter Look-up'!$J:$J,0))</f>
        <v>#N/A</v>
      </c>
      <c r="X537" s="170">
        <f t="shared" ca="1" si="43"/>
        <v>0</v>
      </c>
      <c r="AB537" s="313" t="str">
        <f t="shared" si="45"/>
        <v/>
      </c>
      <c r="AC537" s="170" t="str">
        <f t="shared" si="46"/>
        <v/>
      </c>
      <c r="AD537" s="170" t="str">
        <f t="shared" si="47"/>
        <v/>
      </c>
    </row>
    <row r="538" spans="1:30" s="170" customFormat="1" ht="20.399999999999999">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44"/>
        <v/>
      </c>
      <c r="T538" s="155" t="str">
        <f ca="1">IF(B538="","",IF(ISERROR(MATCH($J538,SorP!$B$1:$B$6226,0)),"",INDIRECT("'SorP'!$A$"&amp;MATCH($S538&amp;$J538,SorP!C:C,0))))</f>
        <v/>
      </c>
      <c r="U538" s="168"/>
      <c r="V538" s="169" t="e">
        <f>IF(C538="",NA(),MATCH($B538&amp;$C538,'Smelter Look-up'!$J:$J,0))</f>
        <v>#N/A</v>
      </c>
      <c r="X538" s="170">
        <f t="shared" ca="1" si="43"/>
        <v>0</v>
      </c>
      <c r="AB538" s="313" t="str">
        <f t="shared" si="45"/>
        <v/>
      </c>
      <c r="AC538" s="170" t="str">
        <f t="shared" si="46"/>
        <v/>
      </c>
      <c r="AD538" s="170" t="str">
        <f t="shared" si="47"/>
        <v/>
      </c>
    </row>
    <row r="539" spans="1:30" s="170" customFormat="1" ht="20.399999999999999">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44"/>
        <v/>
      </c>
      <c r="T539" s="155" t="str">
        <f ca="1">IF(B539="","",IF(ISERROR(MATCH($J539,SorP!$B$1:$B$6226,0)),"",INDIRECT("'SorP'!$A$"&amp;MATCH($S539&amp;$J539,SorP!C:C,0))))</f>
        <v/>
      </c>
      <c r="U539" s="168"/>
      <c r="V539" s="169" t="e">
        <f>IF(C539="",NA(),MATCH($B539&amp;$C539,'Smelter Look-up'!$J:$J,0))</f>
        <v>#N/A</v>
      </c>
      <c r="X539" s="170">
        <f t="shared" ca="1" si="43"/>
        <v>0</v>
      </c>
      <c r="AB539" s="313" t="str">
        <f t="shared" si="45"/>
        <v/>
      </c>
      <c r="AC539" s="170" t="str">
        <f t="shared" si="46"/>
        <v/>
      </c>
      <c r="AD539" s="170" t="str">
        <f t="shared" si="47"/>
        <v/>
      </c>
    </row>
    <row r="540" spans="1:30" s="170" customFormat="1" ht="20.399999999999999">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44"/>
        <v/>
      </c>
      <c r="T540" s="155" t="str">
        <f ca="1">IF(B540="","",IF(ISERROR(MATCH($J540,SorP!$B$1:$B$6226,0)),"",INDIRECT("'SorP'!$A$"&amp;MATCH($S540&amp;$J540,SorP!C:C,0))))</f>
        <v/>
      </c>
      <c r="U540" s="168"/>
      <c r="V540" s="169" t="e">
        <f>IF(C540="",NA(),MATCH($B540&amp;$C540,'Smelter Look-up'!$J:$J,0))</f>
        <v>#N/A</v>
      </c>
      <c r="X540" s="170">
        <f t="shared" ca="1" si="43"/>
        <v>0</v>
      </c>
      <c r="AB540" s="313" t="str">
        <f t="shared" si="45"/>
        <v/>
      </c>
      <c r="AC540" s="170" t="str">
        <f t="shared" si="46"/>
        <v/>
      </c>
      <c r="AD540" s="170" t="str">
        <f t="shared" si="47"/>
        <v/>
      </c>
    </row>
    <row r="541" spans="1:30" s="170" customFormat="1" ht="20.399999999999999">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44"/>
        <v/>
      </c>
      <c r="T541" s="155" t="str">
        <f ca="1">IF(B541="","",IF(ISERROR(MATCH($J541,SorP!$B$1:$B$6226,0)),"",INDIRECT("'SorP'!$A$"&amp;MATCH($S541&amp;$J541,SorP!C:C,0))))</f>
        <v/>
      </c>
      <c r="U541" s="168"/>
      <c r="V541" s="169" t="e">
        <f>IF(C541="",NA(),MATCH($B541&amp;$C541,'Smelter Look-up'!$J:$J,0))</f>
        <v>#N/A</v>
      </c>
      <c r="X541" s="170">
        <f t="shared" ca="1" si="43"/>
        <v>0</v>
      </c>
      <c r="AB541" s="313" t="str">
        <f t="shared" si="45"/>
        <v/>
      </c>
      <c r="AC541" s="170" t="str">
        <f t="shared" si="46"/>
        <v/>
      </c>
      <c r="AD541" s="170" t="str">
        <f t="shared" si="47"/>
        <v/>
      </c>
    </row>
    <row r="542" spans="1:30" s="170" customFormat="1" ht="20.399999999999999">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44"/>
        <v/>
      </c>
      <c r="T542" s="155" t="str">
        <f ca="1">IF(B542="","",IF(ISERROR(MATCH($J542,SorP!$B$1:$B$6226,0)),"",INDIRECT("'SorP'!$A$"&amp;MATCH($S542&amp;$J542,SorP!C:C,0))))</f>
        <v/>
      </c>
      <c r="U542" s="168"/>
      <c r="V542" s="169" t="e">
        <f>IF(C542="",NA(),MATCH($B542&amp;$C542,'Smelter Look-up'!$J:$J,0))</f>
        <v>#N/A</v>
      </c>
      <c r="X542" s="170">
        <f t="shared" ca="1" si="43"/>
        <v>0</v>
      </c>
      <c r="AB542" s="313" t="str">
        <f t="shared" si="45"/>
        <v/>
      </c>
      <c r="AC542" s="170" t="str">
        <f t="shared" si="46"/>
        <v/>
      </c>
      <c r="AD542" s="170" t="str">
        <f t="shared" si="47"/>
        <v/>
      </c>
    </row>
    <row r="543" spans="1:30" s="170" customFormat="1" ht="20.399999999999999">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44"/>
        <v/>
      </c>
      <c r="T543" s="155" t="str">
        <f ca="1">IF(B543="","",IF(ISERROR(MATCH($J543,SorP!$B$1:$B$6226,0)),"",INDIRECT("'SorP'!$A$"&amp;MATCH($S543&amp;$J543,SorP!C:C,0))))</f>
        <v/>
      </c>
      <c r="U543" s="168"/>
      <c r="V543" s="169" t="e">
        <f>IF(C543="",NA(),MATCH($B543&amp;$C543,'Smelter Look-up'!$J:$J,0))</f>
        <v>#N/A</v>
      </c>
      <c r="X543" s="170">
        <f t="shared" ca="1" si="43"/>
        <v>0</v>
      </c>
      <c r="AB543" s="313" t="str">
        <f t="shared" si="45"/>
        <v/>
      </c>
      <c r="AC543" s="170" t="str">
        <f t="shared" si="46"/>
        <v/>
      </c>
      <c r="AD543" s="170" t="str">
        <f t="shared" si="47"/>
        <v/>
      </c>
    </row>
    <row r="544" spans="1:30" s="170" customFormat="1" ht="20.399999999999999">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44"/>
        <v/>
      </c>
      <c r="T544" s="155" t="str">
        <f ca="1">IF(B544="","",IF(ISERROR(MATCH($J544,SorP!$B$1:$B$6226,0)),"",INDIRECT("'SorP'!$A$"&amp;MATCH($S544&amp;$J544,SorP!C:C,0))))</f>
        <v/>
      </c>
      <c r="U544" s="168"/>
      <c r="V544" s="169" t="e">
        <f>IF(C544="",NA(),MATCH($B544&amp;$C544,'Smelter Look-up'!$J:$J,0))</f>
        <v>#N/A</v>
      </c>
      <c r="X544" s="170">
        <f t="shared" ca="1" si="43"/>
        <v>0</v>
      </c>
      <c r="AB544" s="313" t="str">
        <f t="shared" si="45"/>
        <v/>
      </c>
      <c r="AC544" s="170" t="str">
        <f t="shared" si="46"/>
        <v/>
      </c>
      <c r="AD544" s="170" t="str">
        <f t="shared" si="47"/>
        <v/>
      </c>
    </row>
    <row r="545" spans="1:30" s="170" customFormat="1" ht="20.399999999999999">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44"/>
        <v/>
      </c>
      <c r="T545" s="155" t="str">
        <f ca="1">IF(B545="","",IF(ISERROR(MATCH($J545,SorP!$B$1:$B$6226,0)),"",INDIRECT("'SorP'!$A$"&amp;MATCH($S545&amp;$J545,SorP!C:C,0))))</f>
        <v/>
      </c>
      <c r="U545" s="168"/>
      <c r="V545" s="169" t="e">
        <f>IF(C545="",NA(),MATCH($B545&amp;$C545,'Smelter Look-up'!$J:$J,0))</f>
        <v>#N/A</v>
      </c>
      <c r="X545" s="170">
        <f t="shared" ca="1" si="43"/>
        <v>0</v>
      </c>
      <c r="AB545" s="313" t="str">
        <f t="shared" si="45"/>
        <v/>
      </c>
      <c r="AC545" s="170" t="str">
        <f t="shared" si="46"/>
        <v/>
      </c>
      <c r="AD545" s="170" t="str">
        <f t="shared" si="47"/>
        <v/>
      </c>
    </row>
    <row r="546" spans="1:30" s="170" customFormat="1" ht="20.399999999999999">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44"/>
        <v/>
      </c>
      <c r="T546" s="155" t="str">
        <f ca="1">IF(B546="","",IF(ISERROR(MATCH($J546,SorP!$B$1:$B$6226,0)),"",INDIRECT("'SorP'!$A$"&amp;MATCH($S546&amp;$J546,SorP!C:C,0))))</f>
        <v/>
      </c>
      <c r="U546" s="168"/>
      <c r="V546" s="169" t="e">
        <f>IF(C546="",NA(),MATCH($B546&amp;$C546,'Smelter Look-up'!$J:$J,0))</f>
        <v>#N/A</v>
      </c>
      <c r="X546" s="170">
        <f t="shared" ca="1" si="43"/>
        <v>0</v>
      </c>
      <c r="AB546" s="313" t="str">
        <f t="shared" si="45"/>
        <v/>
      </c>
      <c r="AC546" s="170" t="str">
        <f t="shared" si="46"/>
        <v/>
      </c>
      <c r="AD546" s="170" t="str">
        <f t="shared" si="47"/>
        <v/>
      </c>
    </row>
    <row r="547" spans="1:30" s="170" customFormat="1" ht="20.399999999999999">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44"/>
        <v/>
      </c>
      <c r="T547" s="155" t="str">
        <f ca="1">IF(B547="","",IF(ISERROR(MATCH($J547,SorP!$B$1:$B$6226,0)),"",INDIRECT("'SorP'!$A$"&amp;MATCH($S547&amp;$J547,SorP!C:C,0))))</f>
        <v/>
      </c>
      <c r="U547" s="168"/>
      <c r="V547" s="169" t="e">
        <f>IF(C547="",NA(),MATCH($B547&amp;$C547,'Smelter Look-up'!$J:$J,0))</f>
        <v>#N/A</v>
      </c>
      <c r="X547" s="170">
        <f t="shared" ca="1" si="43"/>
        <v>0</v>
      </c>
      <c r="AB547" s="313" t="str">
        <f t="shared" si="45"/>
        <v/>
      </c>
      <c r="AC547" s="170" t="str">
        <f t="shared" si="46"/>
        <v/>
      </c>
      <c r="AD547" s="170" t="str">
        <f t="shared" si="47"/>
        <v/>
      </c>
    </row>
    <row r="548" spans="1:30" s="170" customFormat="1" ht="20.399999999999999">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44"/>
        <v/>
      </c>
      <c r="T548" s="155" t="str">
        <f ca="1">IF(B548="","",IF(ISERROR(MATCH($J548,SorP!$B$1:$B$6226,0)),"",INDIRECT("'SorP'!$A$"&amp;MATCH($S548&amp;$J548,SorP!C:C,0))))</f>
        <v/>
      </c>
      <c r="U548" s="168"/>
      <c r="V548" s="169" t="e">
        <f>IF(C548="",NA(),MATCH($B548&amp;$C548,'Smelter Look-up'!$J:$J,0))</f>
        <v>#N/A</v>
      </c>
      <c r="X548" s="170">
        <f t="shared" ca="1" si="43"/>
        <v>0</v>
      </c>
      <c r="AB548" s="313" t="str">
        <f t="shared" si="45"/>
        <v/>
      </c>
      <c r="AC548" s="170" t="str">
        <f t="shared" si="46"/>
        <v/>
      </c>
      <c r="AD548" s="170" t="str">
        <f t="shared" si="47"/>
        <v/>
      </c>
    </row>
    <row r="549" spans="1:30" s="170" customFormat="1" ht="20.399999999999999">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44"/>
        <v/>
      </c>
      <c r="T549" s="155" t="str">
        <f ca="1">IF(B549="","",IF(ISERROR(MATCH($J549,SorP!$B$1:$B$6226,0)),"",INDIRECT("'SorP'!$A$"&amp;MATCH($S549&amp;$J549,SorP!C:C,0))))</f>
        <v/>
      </c>
      <c r="U549" s="168"/>
      <c r="V549" s="169" t="e">
        <f>IF(C549="",NA(),MATCH($B549&amp;$C549,'Smelter Look-up'!$J:$J,0))</f>
        <v>#N/A</v>
      </c>
      <c r="X549" s="170">
        <f t="shared" ca="1" si="43"/>
        <v>0</v>
      </c>
      <c r="AB549" s="313" t="str">
        <f t="shared" si="45"/>
        <v/>
      </c>
      <c r="AC549" s="170" t="str">
        <f t="shared" si="46"/>
        <v/>
      </c>
      <c r="AD549" s="170" t="str">
        <f t="shared" si="47"/>
        <v/>
      </c>
    </row>
    <row r="550" spans="1:30" s="170" customFormat="1" ht="20.399999999999999">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44"/>
        <v/>
      </c>
      <c r="T550" s="155" t="str">
        <f ca="1">IF(B550="","",IF(ISERROR(MATCH($J550,SorP!$B$1:$B$6226,0)),"",INDIRECT("'SorP'!$A$"&amp;MATCH($S550&amp;$J550,SorP!C:C,0))))</f>
        <v/>
      </c>
      <c r="U550" s="168"/>
      <c r="V550" s="169" t="e">
        <f>IF(C550="",NA(),MATCH($B550&amp;$C550,'Smelter Look-up'!$J:$J,0))</f>
        <v>#N/A</v>
      </c>
      <c r="X550" s="170">
        <f t="shared" ca="1" si="43"/>
        <v>0</v>
      </c>
      <c r="AB550" s="313" t="str">
        <f t="shared" si="45"/>
        <v/>
      </c>
      <c r="AC550" s="170" t="str">
        <f t="shared" si="46"/>
        <v/>
      </c>
      <c r="AD550" s="170" t="str">
        <f t="shared" si="47"/>
        <v/>
      </c>
    </row>
    <row r="551" spans="1:30" s="170" customFormat="1" ht="20.399999999999999">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44"/>
        <v/>
      </c>
      <c r="T551" s="155" t="str">
        <f ca="1">IF(B551="","",IF(ISERROR(MATCH($J551,SorP!$B$1:$B$6226,0)),"",INDIRECT("'SorP'!$A$"&amp;MATCH($S551&amp;$J551,SorP!C:C,0))))</f>
        <v/>
      </c>
      <c r="U551" s="168"/>
      <c r="V551" s="169" t="e">
        <f>IF(C551="",NA(),MATCH($B551&amp;$C551,'Smelter Look-up'!$J:$J,0))</f>
        <v>#N/A</v>
      </c>
      <c r="X551" s="170">
        <f t="shared" ca="1" si="43"/>
        <v>0</v>
      </c>
      <c r="AB551" s="313" t="str">
        <f t="shared" si="45"/>
        <v/>
      </c>
      <c r="AC551" s="170" t="str">
        <f t="shared" si="46"/>
        <v/>
      </c>
      <c r="AD551" s="170" t="str">
        <f t="shared" si="47"/>
        <v/>
      </c>
    </row>
    <row r="552" spans="1:30" s="170" customFormat="1" ht="20.399999999999999">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44"/>
        <v/>
      </c>
      <c r="T552" s="155" t="str">
        <f ca="1">IF(B552="","",IF(ISERROR(MATCH($J552,SorP!$B$1:$B$6226,0)),"",INDIRECT("'SorP'!$A$"&amp;MATCH($S552&amp;$J552,SorP!C:C,0))))</f>
        <v/>
      </c>
      <c r="U552" s="168"/>
      <c r="V552" s="169" t="e">
        <f>IF(C552="",NA(),MATCH($B552&amp;$C552,'Smelter Look-up'!$J:$J,0))</f>
        <v>#N/A</v>
      </c>
      <c r="X552" s="170">
        <f t="shared" ca="1" si="43"/>
        <v>0</v>
      </c>
      <c r="AB552" s="313" t="str">
        <f t="shared" si="45"/>
        <v/>
      </c>
      <c r="AC552" s="170" t="str">
        <f t="shared" si="46"/>
        <v/>
      </c>
      <c r="AD552" s="170" t="str">
        <f t="shared" si="47"/>
        <v/>
      </c>
    </row>
    <row r="553" spans="1:30" s="170" customFormat="1" ht="20.399999999999999">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44"/>
        <v/>
      </c>
      <c r="T553" s="155" t="str">
        <f ca="1">IF(B553="","",IF(ISERROR(MATCH($J553,SorP!$B$1:$B$6226,0)),"",INDIRECT("'SorP'!$A$"&amp;MATCH($S553&amp;$J553,SorP!C:C,0))))</f>
        <v/>
      </c>
      <c r="U553" s="168"/>
      <c r="V553" s="169" t="e">
        <f>IF(C553="",NA(),MATCH($B553&amp;$C553,'Smelter Look-up'!$J:$J,0))</f>
        <v>#N/A</v>
      </c>
      <c r="X553" s="170">
        <f t="shared" ca="1" si="43"/>
        <v>0</v>
      </c>
      <c r="AB553" s="313" t="str">
        <f t="shared" si="45"/>
        <v/>
      </c>
      <c r="AC553" s="170" t="str">
        <f t="shared" si="46"/>
        <v/>
      </c>
      <c r="AD553" s="170" t="str">
        <f t="shared" si="47"/>
        <v/>
      </c>
    </row>
    <row r="554" spans="1:30" s="170" customFormat="1" ht="20.399999999999999">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44"/>
        <v/>
      </c>
      <c r="T554" s="155" t="str">
        <f ca="1">IF(B554="","",IF(ISERROR(MATCH($J554,SorP!$B$1:$B$6226,0)),"",INDIRECT("'SorP'!$A$"&amp;MATCH($S554&amp;$J554,SorP!C:C,0))))</f>
        <v/>
      </c>
      <c r="U554" s="168"/>
      <c r="V554" s="169" t="e">
        <f>IF(C554="",NA(),MATCH($B554&amp;$C554,'Smelter Look-up'!$J:$J,0))</f>
        <v>#N/A</v>
      </c>
      <c r="X554" s="170">
        <f t="shared" ca="1" si="43"/>
        <v>0</v>
      </c>
      <c r="AB554" s="313" t="str">
        <f t="shared" si="45"/>
        <v/>
      </c>
      <c r="AC554" s="170" t="str">
        <f t="shared" si="46"/>
        <v/>
      </c>
      <c r="AD554" s="170" t="str">
        <f t="shared" si="47"/>
        <v/>
      </c>
    </row>
    <row r="555" spans="1:30" s="170" customFormat="1" ht="20.399999999999999">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44"/>
        <v/>
      </c>
      <c r="T555" s="155" t="str">
        <f ca="1">IF(B555="","",IF(ISERROR(MATCH($J555,SorP!$B$1:$B$6226,0)),"",INDIRECT("'SorP'!$A$"&amp;MATCH($S555&amp;$J555,SorP!C:C,0))))</f>
        <v/>
      </c>
      <c r="U555" s="168"/>
      <c r="V555" s="169" t="e">
        <f>IF(C555="",NA(),MATCH($B555&amp;$C555,'Smelter Look-up'!$J:$J,0))</f>
        <v>#N/A</v>
      </c>
      <c r="X555" s="170">
        <f t="shared" ca="1" si="43"/>
        <v>0</v>
      </c>
      <c r="AB555" s="313" t="str">
        <f t="shared" si="45"/>
        <v/>
      </c>
      <c r="AC555" s="170" t="str">
        <f t="shared" si="46"/>
        <v/>
      </c>
      <c r="AD555" s="170" t="str">
        <f t="shared" si="47"/>
        <v/>
      </c>
    </row>
    <row r="556" spans="1:30" s="170" customFormat="1" ht="20.399999999999999">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44"/>
        <v/>
      </c>
      <c r="T556" s="155" t="str">
        <f ca="1">IF(B556="","",IF(ISERROR(MATCH($J556,SorP!$B$1:$B$6226,0)),"",INDIRECT("'SorP'!$A$"&amp;MATCH($S556&amp;$J556,SorP!C:C,0))))</f>
        <v/>
      </c>
      <c r="U556" s="168"/>
      <c r="V556" s="169" t="e">
        <f>IF(C556="",NA(),MATCH($B556&amp;$C556,'Smelter Look-up'!$J:$J,0))</f>
        <v>#N/A</v>
      </c>
      <c r="X556" s="170">
        <f t="shared" ca="1" si="43"/>
        <v>0</v>
      </c>
      <c r="AB556" s="313" t="str">
        <f t="shared" si="45"/>
        <v/>
      </c>
      <c r="AC556" s="170" t="str">
        <f t="shared" si="46"/>
        <v/>
      </c>
      <c r="AD556" s="170" t="str">
        <f t="shared" si="47"/>
        <v/>
      </c>
    </row>
    <row r="557" spans="1:30" s="170" customFormat="1" ht="20.399999999999999">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44"/>
        <v/>
      </c>
      <c r="T557" s="155" t="str">
        <f ca="1">IF(B557="","",IF(ISERROR(MATCH($J557,SorP!$B$1:$B$6226,0)),"",INDIRECT("'SorP'!$A$"&amp;MATCH($S557&amp;$J557,SorP!C:C,0))))</f>
        <v/>
      </c>
      <c r="U557" s="168"/>
      <c r="V557" s="169" t="e">
        <f>IF(C557="",NA(),MATCH($B557&amp;$C557,'Smelter Look-up'!$J:$J,0))</f>
        <v>#N/A</v>
      </c>
      <c r="X557" s="170">
        <f t="shared" ca="1" si="43"/>
        <v>0</v>
      </c>
      <c r="AB557" s="313" t="str">
        <f t="shared" si="45"/>
        <v/>
      </c>
      <c r="AC557" s="170" t="str">
        <f t="shared" si="46"/>
        <v/>
      </c>
      <c r="AD557" s="170" t="str">
        <f t="shared" si="47"/>
        <v/>
      </c>
    </row>
    <row r="558" spans="1:30" s="170" customFormat="1" ht="20.399999999999999">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44"/>
        <v/>
      </c>
      <c r="T558" s="155" t="str">
        <f ca="1">IF(B558="","",IF(ISERROR(MATCH($J558,SorP!$B$1:$B$6226,0)),"",INDIRECT("'SorP'!$A$"&amp;MATCH($S558&amp;$J558,SorP!C:C,0))))</f>
        <v/>
      </c>
      <c r="U558" s="168"/>
      <c r="V558" s="169" t="e">
        <f>IF(C558="",NA(),MATCH($B558&amp;$C558,'Smelter Look-up'!$J:$J,0))</f>
        <v>#N/A</v>
      </c>
      <c r="X558" s="170">
        <f t="shared" ca="1" si="43"/>
        <v>0</v>
      </c>
      <c r="AB558" s="313" t="str">
        <f t="shared" si="45"/>
        <v/>
      </c>
      <c r="AC558" s="170" t="str">
        <f t="shared" si="46"/>
        <v/>
      </c>
      <c r="AD558" s="170" t="str">
        <f t="shared" si="47"/>
        <v/>
      </c>
    </row>
    <row r="559" spans="1:30" s="170" customFormat="1" ht="20.399999999999999">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44"/>
        <v/>
      </c>
      <c r="T559" s="155" t="str">
        <f ca="1">IF(B559="","",IF(ISERROR(MATCH($J559,SorP!$B$1:$B$6226,0)),"",INDIRECT("'SorP'!$A$"&amp;MATCH($S559&amp;$J559,SorP!C:C,0))))</f>
        <v/>
      </c>
      <c r="U559" s="168"/>
      <c r="V559" s="169" t="e">
        <f>IF(C559="",NA(),MATCH($B559&amp;$C559,'Smelter Look-up'!$J:$J,0))</f>
        <v>#N/A</v>
      </c>
      <c r="X559" s="170">
        <f t="shared" ca="1" si="43"/>
        <v>0</v>
      </c>
      <c r="AB559" s="313" t="str">
        <f t="shared" si="45"/>
        <v/>
      </c>
      <c r="AC559" s="170" t="str">
        <f t="shared" si="46"/>
        <v/>
      </c>
      <c r="AD559" s="170" t="str">
        <f t="shared" si="47"/>
        <v/>
      </c>
    </row>
    <row r="560" spans="1:30" s="170" customFormat="1" ht="20.399999999999999">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44"/>
        <v/>
      </c>
      <c r="T560" s="155" t="str">
        <f ca="1">IF(B560="","",IF(ISERROR(MATCH($J560,SorP!$B$1:$B$6226,0)),"",INDIRECT("'SorP'!$A$"&amp;MATCH($S560&amp;$J560,SorP!C:C,0))))</f>
        <v/>
      </c>
      <c r="U560" s="168"/>
      <c r="V560" s="169" t="e">
        <f>IF(C560="",NA(),MATCH($B560&amp;$C560,'Smelter Look-up'!$J:$J,0))</f>
        <v>#N/A</v>
      </c>
      <c r="X560" s="170">
        <f t="shared" ca="1" si="43"/>
        <v>0</v>
      </c>
      <c r="AB560" s="313" t="str">
        <f t="shared" si="45"/>
        <v/>
      </c>
      <c r="AC560" s="170" t="str">
        <f t="shared" si="46"/>
        <v/>
      </c>
      <c r="AD560" s="170" t="str">
        <f t="shared" si="47"/>
        <v/>
      </c>
    </row>
    <row r="561" spans="1:30" s="170" customFormat="1" ht="20.399999999999999">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44"/>
        <v/>
      </c>
      <c r="T561" s="155" t="str">
        <f ca="1">IF(B561="","",IF(ISERROR(MATCH($J561,SorP!$B$1:$B$6226,0)),"",INDIRECT("'SorP'!$A$"&amp;MATCH($S561&amp;$J561,SorP!C:C,0))))</f>
        <v/>
      </c>
      <c r="U561" s="168"/>
      <c r="V561" s="169" t="e">
        <f>IF(C561="",NA(),MATCH($B561&amp;$C561,'Smelter Look-up'!$J:$J,0))</f>
        <v>#N/A</v>
      </c>
      <c r="X561" s="170">
        <f t="shared" ca="1" si="43"/>
        <v>0</v>
      </c>
      <c r="AB561" s="313" t="str">
        <f t="shared" si="45"/>
        <v/>
      </c>
      <c r="AC561" s="170" t="str">
        <f t="shared" si="46"/>
        <v/>
      </c>
      <c r="AD561" s="170" t="str">
        <f t="shared" si="47"/>
        <v/>
      </c>
    </row>
    <row r="562" spans="1:30" s="170" customFormat="1" ht="20.399999999999999">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44"/>
        <v/>
      </c>
      <c r="T562" s="155" t="str">
        <f ca="1">IF(B562="","",IF(ISERROR(MATCH($J562,SorP!$B$1:$B$6226,0)),"",INDIRECT("'SorP'!$A$"&amp;MATCH($S562&amp;$J562,SorP!C:C,0))))</f>
        <v/>
      </c>
      <c r="U562" s="168"/>
      <c r="V562" s="169" t="e">
        <f>IF(C562="",NA(),MATCH($B562&amp;$C562,'Smelter Look-up'!$J:$J,0))</f>
        <v>#N/A</v>
      </c>
      <c r="X562" s="170">
        <f t="shared" ca="1" si="43"/>
        <v>0</v>
      </c>
      <c r="AB562" s="313" t="str">
        <f t="shared" si="45"/>
        <v/>
      </c>
      <c r="AC562" s="170" t="str">
        <f t="shared" si="46"/>
        <v/>
      </c>
      <c r="AD562" s="170" t="str">
        <f t="shared" si="47"/>
        <v/>
      </c>
    </row>
    <row r="563" spans="1:30" s="170" customFormat="1" ht="20.399999999999999">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44"/>
        <v/>
      </c>
      <c r="T563" s="155" t="str">
        <f ca="1">IF(B563="","",IF(ISERROR(MATCH($J563,SorP!$B$1:$B$6226,0)),"",INDIRECT("'SorP'!$A$"&amp;MATCH($S563&amp;$J563,SorP!C:C,0))))</f>
        <v/>
      </c>
      <c r="U563" s="168"/>
      <c r="V563" s="169" t="e">
        <f>IF(C563="",NA(),MATCH($B563&amp;$C563,'Smelter Look-up'!$J:$J,0))</f>
        <v>#N/A</v>
      </c>
      <c r="X563" s="170">
        <f t="shared" ca="1" si="43"/>
        <v>0</v>
      </c>
      <c r="AB563" s="313" t="str">
        <f t="shared" si="45"/>
        <v/>
      </c>
      <c r="AC563" s="170" t="str">
        <f t="shared" si="46"/>
        <v/>
      </c>
      <c r="AD563" s="170" t="str">
        <f t="shared" si="47"/>
        <v/>
      </c>
    </row>
    <row r="564" spans="1:30" s="170" customFormat="1" ht="20.399999999999999">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44"/>
        <v/>
      </c>
      <c r="T564" s="155" t="str">
        <f ca="1">IF(B564="","",IF(ISERROR(MATCH($J564,SorP!$B$1:$B$6226,0)),"",INDIRECT("'SorP'!$A$"&amp;MATCH($S564&amp;$J564,SorP!C:C,0))))</f>
        <v/>
      </c>
      <c r="U564" s="168"/>
      <c r="V564" s="169" t="e">
        <f>IF(C564="",NA(),MATCH($B564&amp;$C564,'Smelter Look-up'!$J:$J,0))</f>
        <v>#N/A</v>
      </c>
      <c r="X564" s="170">
        <f t="shared" ca="1" si="43"/>
        <v>0</v>
      </c>
      <c r="AB564" s="313" t="str">
        <f t="shared" si="45"/>
        <v/>
      </c>
      <c r="AC564" s="170" t="str">
        <f t="shared" si="46"/>
        <v/>
      </c>
      <c r="AD564" s="170" t="str">
        <f t="shared" si="47"/>
        <v/>
      </c>
    </row>
    <row r="565" spans="1:30" s="170" customFormat="1" ht="20.399999999999999">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44"/>
        <v/>
      </c>
      <c r="T565" s="155" t="str">
        <f ca="1">IF(B565="","",IF(ISERROR(MATCH($J565,SorP!$B$1:$B$6226,0)),"",INDIRECT("'SorP'!$A$"&amp;MATCH($S565&amp;$J565,SorP!C:C,0))))</f>
        <v/>
      </c>
      <c r="U565" s="168"/>
      <c r="V565" s="169" t="e">
        <f>IF(C565="",NA(),MATCH($B565&amp;$C565,'Smelter Look-up'!$J:$J,0))</f>
        <v>#N/A</v>
      </c>
      <c r="X565" s="170">
        <f t="shared" ca="1" si="43"/>
        <v>0</v>
      </c>
      <c r="AB565" s="313" t="str">
        <f t="shared" si="45"/>
        <v/>
      </c>
      <c r="AC565" s="170" t="str">
        <f t="shared" si="46"/>
        <v/>
      </c>
      <c r="AD565" s="170" t="str">
        <f t="shared" si="47"/>
        <v/>
      </c>
    </row>
    <row r="566" spans="1:30" s="170" customFormat="1" ht="20.399999999999999">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44"/>
        <v/>
      </c>
      <c r="T566" s="155" t="str">
        <f ca="1">IF(B566="","",IF(ISERROR(MATCH($J566,SorP!$B$1:$B$6226,0)),"",INDIRECT("'SorP'!$A$"&amp;MATCH($S566&amp;$J566,SorP!C:C,0))))</f>
        <v/>
      </c>
      <c r="U566" s="168"/>
      <c r="V566" s="169" t="e">
        <f>IF(C566="",NA(),MATCH($B566&amp;$C566,'Smelter Look-up'!$J:$J,0))</f>
        <v>#N/A</v>
      </c>
      <c r="X566" s="170">
        <f t="shared" ca="1" si="43"/>
        <v>0</v>
      </c>
      <c r="AB566" s="313" t="str">
        <f t="shared" si="45"/>
        <v/>
      </c>
      <c r="AC566" s="170" t="str">
        <f t="shared" si="46"/>
        <v/>
      </c>
      <c r="AD566" s="170" t="str">
        <f t="shared" si="47"/>
        <v/>
      </c>
    </row>
    <row r="567" spans="1:30" s="170" customFormat="1" ht="20.399999999999999">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44"/>
        <v/>
      </c>
      <c r="T567" s="155" t="str">
        <f ca="1">IF(B567="","",IF(ISERROR(MATCH($J567,SorP!$B$1:$B$6226,0)),"",INDIRECT("'SorP'!$A$"&amp;MATCH($S567&amp;$J567,SorP!C:C,0))))</f>
        <v/>
      </c>
      <c r="U567" s="168"/>
      <c r="V567" s="169" t="e">
        <f>IF(C567="",NA(),MATCH($B567&amp;$C567,'Smelter Look-up'!$J:$J,0))</f>
        <v>#N/A</v>
      </c>
      <c r="X567" s="170">
        <f t="shared" ca="1" si="43"/>
        <v>0</v>
      </c>
      <c r="AB567" s="313" t="str">
        <f t="shared" si="45"/>
        <v/>
      </c>
      <c r="AC567" s="170" t="str">
        <f t="shared" si="46"/>
        <v/>
      </c>
      <c r="AD567" s="170" t="str">
        <f t="shared" si="47"/>
        <v/>
      </c>
    </row>
    <row r="568" spans="1:30" s="170" customFormat="1" ht="20.399999999999999">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44"/>
        <v/>
      </c>
      <c r="T568" s="155" t="str">
        <f ca="1">IF(B568="","",IF(ISERROR(MATCH($J568,SorP!$B$1:$B$6226,0)),"",INDIRECT("'SorP'!$A$"&amp;MATCH($S568&amp;$J568,SorP!C:C,0))))</f>
        <v/>
      </c>
      <c r="U568" s="168"/>
      <c r="V568" s="169" t="e">
        <f>IF(C568="",NA(),MATCH($B568&amp;$C568,'Smelter Look-up'!$J:$J,0))</f>
        <v>#N/A</v>
      </c>
      <c r="X568" s="170">
        <f t="shared" ca="1" si="43"/>
        <v>0</v>
      </c>
      <c r="AB568" s="313" t="str">
        <f t="shared" si="45"/>
        <v/>
      </c>
      <c r="AC568" s="170" t="str">
        <f t="shared" si="46"/>
        <v/>
      </c>
      <c r="AD568" s="170" t="str">
        <f t="shared" si="47"/>
        <v/>
      </c>
    </row>
    <row r="569" spans="1:30" s="170" customFormat="1" ht="20.399999999999999">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44"/>
        <v/>
      </c>
      <c r="T569" s="155" t="str">
        <f ca="1">IF(B569="","",IF(ISERROR(MATCH($J569,SorP!$B$1:$B$6226,0)),"",INDIRECT("'SorP'!$A$"&amp;MATCH($S569&amp;$J569,SorP!C:C,0))))</f>
        <v/>
      </c>
      <c r="U569" s="168"/>
      <c r="V569" s="169" t="e">
        <f>IF(C569="",NA(),MATCH($B569&amp;$C569,'Smelter Look-up'!$J:$J,0))</f>
        <v>#N/A</v>
      </c>
      <c r="X569" s="170">
        <f t="shared" ca="1" si="43"/>
        <v>0</v>
      </c>
      <c r="AB569" s="313" t="str">
        <f t="shared" si="45"/>
        <v/>
      </c>
      <c r="AC569" s="170" t="str">
        <f t="shared" si="46"/>
        <v/>
      </c>
      <c r="AD569" s="170" t="str">
        <f t="shared" si="47"/>
        <v/>
      </c>
    </row>
    <row r="570" spans="1:30" s="170" customFormat="1" ht="20.399999999999999">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44"/>
        <v/>
      </c>
      <c r="T570" s="155" t="str">
        <f ca="1">IF(B570="","",IF(ISERROR(MATCH($J570,SorP!$B$1:$B$6226,0)),"",INDIRECT("'SorP'!$A$"&amp;MATCH($S570&amp;$J570,SorP!C:C,0))))</f>
        <v/>
      </c>
      <c r="U570" s="168"/>
      <c r="V570" s="169" t="e">
        <f>IF(C570="",NA(),MATCH($B570&amp;$C570,'Smelter Look-up'!$J:$J,0))</f>
        <v>#N/A</v>
      </c>
      <c r="X570" s="170">
        <f t="shared" ca="1" si="43"/>
        <v>0</v>
      </c>
      <c r="AB570" s="313" t="str">
        <f t="shared" si="45"/>
        <v/>
      </c>
      <c r="AC570" s="170" t="str">
        <f t="shared" si="46"/>
        <v/>
      </c>
      <c r="AD570" s="170" t="str">
        <f t="shared" si="47"/>
        <v/>
      </c>
    </row>
    <row r="571" spans="1:30" s="170" customFormat="1" ht="20.399999999999999">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44"/>
        <v/>
      </c>
      <c r="T571" s="155" t="str">
        <f ca="1">IF(B571="","",IF(ISERROR(MATCH($J571,SorP!$B$1:$B$6226,0)),"",INDIRECT("'SorP'!$A$"&amp;MATCH($S571&amp;$J571,SorP!C:C,0))))</f>
        <v/>
      </c>
      <c r="U571" s="168"/>
      <c r="V571" s="169" t="e">
        <f>IF(C571="",NA(),MATCH($B571&amp;$C571,'Smelter Look-up'!$J:$J,0))</f>
        <v>#N/A</v>
      </c>
      <c r="X571" s="170">
        <f t="shared" ca="1" si="43"/>
        <v>0</v>
      </c>
      <c r="AB571" s="313" t="str">
        <f t="shared" si="45"/>
        <v/>
      </c>
      <c r="AC571" s="170" t="str">
        <f t="shared" si="46"/>
        <v/>
      </c>
      <c r="AD571" s="170" t="str">
        <f t="shared" si="47"/>
        <v/>
      </c>
    </row>
    <row r="572" spans="1:30" s="170" customFormat="1" ht="20.399999999999999">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44"/>
        <v/>
      </c>
      <c r="T572" s="155" t="str">
        <f ca="1">IF(B572="","",IF(ISERROR(MATCH($J572,SorP!$B$1:$B$6226,0)),"",INDIRECT("'SorP'!$A$"&amp;MATCH($S572&amp;$J572,SorP!C:C,0))))</f>
        <v/>
      </c>
      <c r="U572" s="168"/>
      <c r="V572" s="169" t="e">
        <f>IF(C572="",NA(),MATCH($B572&amp;$C572,'Smelter Look-up'!$J:$J,0))</f>
        <v>#N/A</v>
      </c>
      <c r="X572" s="170">
        <f t="shared" ca="1" si="43"/>
        <v>0</v>
      </c>
      <c r="AB572" s="313" t="str">
        <f t="shared" si="45"/>
        <v/>
      </c>
      <c r="AC572" s="170" t="str">
        <f t="shared" si="46"/>
        <v/>
      </c>
      <c r="AD572" s="170" t="str">
        <f t="shared" si="47"/>
        <v/>
      </c>
    </row>
    <row r="573" spans="1:30" s="170" customFormat="1" ht="20.399999999999999">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44"/>
        <v/>
      </c>
      <c r="T573" s="155" t="str">
        <f ca="1">IF(B573="","",IF(ISERROR(MATCH($J573,SorP!$B$1:$B$6226,0)),"",INDIRECT("'SorP'!$A$"&amp;MATCH($S573&amp;$J573,SorP!C:C,0))))</f>
        <v/>
      </c>
      <c r="U573" s="168"/>
      <c r="V573" s="169" t="e">
        <f>IF(C573="",NA(),MATCH($B573&amp;$C573,'Smelter Look-up'!$J:$J,0))</f>
        <v>#N/A</v>
      </c>
      <c r="X573" s="170">
        <f t="shared" ca="1" si="43"/>
        <v>0</v>
      </c>
      <c r="AB573" s="313" t="str">
        <f t="shared" si="45"/>
        <v/>
      </c>
      <c r="AC573" s="170" t="str">
        <f t="shared" si="46"/>
        <v/>
      </c>
      <c r="AD573" s="170" t="str">
        <f t="shared" si="47"/>
        <v/>
      </c>
    </row>
    <row r="574" spans="1:30" s="170" customFormat="1" ht="20.399999999999999">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44"/>
        <v/>
      </c>
      <c r="T574" s="155" t="str">
        <f ca="1">IF(B574="","",IF(ISERROR(MATCH($J574,SorP!$B$1:$B$6226,0)),"",INDIRECT("'SorP'!$A$"&amp;MATCH($S574&amp;$J574,SorP!C:C,0))))</f>
        <v/>
      </c>
      <c r="U574" s="168"/>
      <c r="V574" s="169" t="e">
        <f>IF(C574="",NA(),MATCH($B574&amp;$C574,'Smelter Look-up'!$J:$J,0))</f>
        <v>#N/A</v>
      </c>
      <c r="X574" s="170">
        <f t="shared" ca="1" si="43"/>
        <v>0</v>
      </c>
      <c r="AB574" s="313" t="str">
        <f t="shared" si="45"/>
        <v/>
      </c>
      <c r="AC574" s="170" t="str">
        <f t="shared" si="46"/>
        <v/>
      </c>
      <c r="AD574" s="170" t="str">
        <f t="shared" si="47"/>
        <v/>
      </c>
    </row>
    <row r="575" spans="1:30" s="170" customFormat="1" ht="20.399999999999999">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44"/>
        <v/>
      </c>
      <c r="T575" s="155" t="str">
        <f ca="1">IF(B575="","",IF(ISERROR(MATCH($J575,SorP!$B$1:$B$6226,0)),"",INDIRECT("'SorP'!$A$"&amp;MATCH($S575&amp;$J575,SorP!C:C,0))))</f>
        <v/>
      </c>
      <c r="U575" s="168"/>
      <c r="V575" s="169" t="e">
        <f>IF(C575="",NA(),MATCH($B575&amp;$C575,'Smelter Look-up'!$J:$J,0))</f>
        <v>#N/A</v>
      </c>
      <c r="X575" s="170">
        <f t="shared" ref="X575:X638" ca="1" si="48">IF(AND(C575="Smelter not listed",OR(LEN(D575)=0,LEN(E575)=0)),1,0)</f>
        <v>0</v>
      </c>
      <c r="AB575" s="313" t="str">
        <f t="shared" si="45"/>
        <v/>
      </c>
      <c r="AC575" s="170" t="str">
        <f t="shared" si="46"/>
        <v/>
      </c>
      <c r="AD575" s="170" t="str">
        <f t="shared" si="47"/>
        <v/>
      </c>
    </row>
    <row r="576" spans="1:30" s="170" customFormat="1" ht="20.399999999999999">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ref="S576:S639" ca="1" si="49">IF(B576="","",IF(ISERROR(MATCH($E576,CL,0)),"Unknown",INDIRECT("'C'!$A$"&amp;MATCH($E576,CL,0)+1)))</f>
        <v/>
      </c>
      <c r="T576" s="155" t="str">
        <f ca="1">IF(B576="","",IF(ISERROR(MATCH($J576,SorP!$B$1:$B$6226,0)),"",INDIRECT("'SorP'!$A$"&amp;MATCH($S576&amp;$J576,SorP!C:C,0))))</f>
        <v/>
      </c>
      <c r="U576" s="168"/>
      <c r="V576" s="169" t="e">
        <f>IF(C576="",NA(),MATCH($B576&amp;$C576,'Smelter Look-up'!$J:$J,0))</f>
        <v>#N/A</v>
      </c>
      <c r="X576" s="170">
        <f t="shared" ca="1" si="48"/>
        <v>0</v>
      </c>
      <c r="AB576" s="313" t="str">
        <f t="shared" si="45"/>
        <v/>
      </c>
      <c r="AC576" s="170" t="str">
        <f t="shared" si="46"/>
        <v/>
      </c>
      <c r="AD576" s="170" t="str">
        <f t="shared" si="47"/>
        <v/>
      </c>
    </row>
    <row r="577" spans="1:30" s="170" customFormat="1" ht="20.399999999999999">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49"/>
        <v/>
      </c>
      <c r="T577" s="155" t="str">
        <f ca="1">IF(B577="","",IF(ISERROR(MATCH($J577,SorP!$B$1:$B$6226,0)),"",INDIRECT("'SorP'!$A$"&amp;MATCH($S577&amp;$J577,SorP!C:C,0))))</f>
        <v/>
      </c>
      <c r="U577" s="168"/>
      <c r="V577" s="169" t="e">
        <f>IF(C577="",NA(),MATCH($B577&amp;$C577,'Smelter Look-up'!$J:$J,0))</f>
        <v>#N/A</v>
      </c>
      <c r="X577" s="170">
        <f t="shared" ca="1" si="48"/>
        <v>0</v>
      </c>
      <c r="AB577" s="313" t="str">
        <f t="shared" si="45"/>
        <v/>
      </c>
      <c r="AC577" s="170" t="str">
        <f t="shared" si="46"/>
        <v/>
      </c>
      <c r="AD577" s="170" t="str">
        <f t="shared" si="47"/>
        <v/>
      </c>
    </row>
    <row r="578" spans="1:30" s="170" customFormat="1" ht="20.399999999999999">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49"/>
        <v/>
      </c>
      <c r="T578" s="155" t="str">
        <f ca="1">IF(B578="","",IF(ISERROR(MATCH($J578,SorP!$B$1:$B$6226,0)),"",INDIRECT("'SorP'!$A$"&amp;MATCH($S578&amp;$J578,SorP!C:C,0))))</f>
        <v/>
      </c>
      <c r="U578" s="168"/>
      <c r="V578" s="169" t="e">
        <f>IF(C578="",NA(),MATCH($B578&amp;$C578,'Smelter Look-up'!$J:$J,0))</f>
        <v>#N/A</v>
      </c>
      <c r="X578" s="170">
        <f t="shared" ca="1" si="48"/>
        <v>0</v>
      </c>
      <c r="AB578" s="313" t="str">
        <f t="shared" si="45"/>
        <v/>
      </c>
      <c r="AC578" s="170" t="str">
        <f t="shared" si="46"/>
        <v/>
      </c>
      <c r="AD578" s="170" t="str">
        <f t="shared" si="47"/>
        <v/>
      </c>
    </row>
    <row r="579" spans="1:30" s="170" customFormat="1" ht="20.399999999999999">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49"/>
        <v/>
      </c>
      <c r="T579" s="155" t="str">
        <f ca="1">IF(B579="","",IF(ISERROR(MATCH($J579,SorP!$B$1:$B$6226,0)),"",INDIRECT("'SorP'!$A$"&amp;MATCH($S579&amp;$J579,SorP!C:C,0))))</f>
        <v/>
      </c>
      <c r="U579" s="168"/>
      <c r="V579" s="169" t="e">
        <f>IF(C579="",NA(),MATCH($B579&amp;$C579,'Smelter Look-up'!$J:$J,0))</f>
        <v>#N/A</v>
      </c>
      <c r="X579" s="170">
        <f t="shared" ca="1" si="48"/>
        <v>0</v>
      </c>
      <c r="AB579" s="313" t="str">
        <f t="shared" si="45"/>
        <v/>
      </c>
      <c r="AC579" s="170" t="str">
        <f t="shared" si="46"/>
        <v/>
      </c>
      <c r="AD579" s="170" t="str">
        <f t="shared" si="47"/>
        <v/>
      </c>
    </row>
    <row r="580" spans="1:30" s="170" customFormat="1" ht="20.399999999999999">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49"/>
        <v/>
      </c>
      <c r="T580" s="155" t="str">
        <f ca="1">IF(B580="","",IF(ISERROR(MATCH($J580,SorP!$B$1:$B$6226,0)),"",INDIRECT("'SorP'!$A$"&amp;MATCH($S580&amp;$J580,SorP!C:C,0))))</f>
        <v/>
      </c>
      <c r="U580" s="168"/>
      <c r="V580" s="169" t="e">
        <f>IF(C580="",NA(),MATCH($B580&amp;$C580,'Smelter Look-up'!$J:$J,0))</f>
        <v>#N/A</v>
      </c>
      <c r="X580" s="170">
        <f t="shared" ca="1" si="48"/>
        <v>0</v>
      </c>
      <c r="AB580" s="313" t="str">
        <f t="shared" si="45"/>
        <v/>
      </c>
      <c r="AC580" s="170" t="str">
        <f t="shared" si="46"/>
        <v/>
      </c>
      <c r="AD580" s="170" t="str">
        <f t="shared" si="47"/>
        <v/>
      </c>
    </row>
    <row r="581" spans="1:30" s="170" customFormat="1" ht="20.399999999999999">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49"/>
        <v/>
      </c>
      <c r="T581" s="155" t="str">
        <f ca="1">IF(B581="","",IF(ISERROR(MATCH($J581,SorP!$B$1:$B$6226,0)),"",INDIRECT("'SorP'!$A$"&amp;MATCH($S581&amp;$J581,SorP!C:C,0))))</f>
        <v/>
      </c>
      <c r="U581" s="168"/>
      <c r="V581" s="169" t="e">
        <f>IF(C581="",NA(),MATCH($B581&amp;$C581,'Smelter Look-up'!$J:$J,0))</f>
        <v>#N/A</v>
      </c>
      <c r="X581" s="170">
        <f t="shared" ca="1" si="48"/>
        <v>0</v>
      </c>
      <c r="AB581" s="313" t="str">
        <f t="shared" si="45"/>
        <v/>
      </c>
      <c r="AC581" s="170" t="str">
        <f t="shared" si="46"/>
        <v/>
      </c>
      <c r="AD581" s="170" t="str">
        <f t="shared" si="47"/>
        <v/>
      </c>
    </row>
    <row r="582" spans="1:30" s="170" customFormat="1" ht="20.399999999999999">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49"/>
        <v/>
      </c>
      <c r="T582" s="155" t="str">
        <f ca="1">IF(B582="","",IF(ISERROR(MATCH($J582,SorP!$B$1:$B$6226,0)),"",INDIRECT("'SorP'!$A$"&amp;MATCH($S582&amp;$J582,SorP!C:C,0))))</f>
        <v/>
      </c>
      <c r="U582" s="168"/>
      <c r="V582" s="169" t="e">
        <f>IF(C582="",NA(),MATCH($B582&amp;$C582,'Smelter Look-up'!$J:$J,0))</f>
        <v>#N/A</v>
      </c>
      <c r="X582" s="170">
        <f t="shared" ca="1" si="48"/>
        <v>0</v>
      </c>
      <c r="AB582" s="313" t="str">
        <f t="shared" ref="AB582:AB645" si="50">IF(C582="","",B582)</f>
        <v/>
      </c>
      <c r="AC582" s="170" t="str">
        <f t="shared" ref="AC582:AC645" si="51">B582</f>
        <v/>
      </c>
      <c r="AD582" s="170" t="str">
        <f t="shared" ref="AD582:AD645" si="52">IF(C582="Smelter not listed",D582,C582)</f>
        <v/>
      </c>
    </row>
    <row r="583" spans="1:30" s="170" customFormat="1" ht="20.399999999999999">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49"/>
        <v/>
      </c>
      <c r="T583" s="155" t="str">
        <f ca="1">IF(B583="","",IF(ISERROR(MATCH($J583,SorP!$B$1:$B$6226,0)),"",INDIRECT("'SorP'!$A$"&amp;MATCH($S583&amp;$J583,SorP!C:C,0))))</f>
        <v/>
      </c>
      <c r="U583" s="168"/>
      <c r="V583" s="169" t="e">
        <f>IF(C583="",NA(),MATCH($B583&amp;$C583,'Smelter Look-up'!$J:$J,0))</f>
        <v>#N/A</v>
      </c>
      <c r="X583" s="170">
        <f t="shared" ca="1" si="48"/>
        <v>0</v>
      </c>
      <c r="AB583" s="313" t="str">
        <f t="shared" si="50"/>
        <v/>
      </c>
      <c r="AC583" s="170" t="str">
        <f t="shared" si="51"/>
        <v/>
      </c>
      <c r="AD583" s="170" t="str">
        <f t="shared" si="52"/>
        <v/>
      </c>
    </row>
    <row r="584" spans="1:30" s="170" customFormat="1" ht="20.399999999999999">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49"/>
        <v/>
      </c>
      <c r="T584" s="155" t="str">
        <f ca="1">IF(B584="","",IF(ISERROR(MATCH($J584,SorP!$B$1:$B$6226,0)),"",INDIRECT("'SorP'!$A$"&amp;MATCH($S584&amp;$J584,SorP!C:C,0))))</f>
        <v/>
      </c>
      <c r="U584" s="168"/>
      <c r="V584" s="169" t="e">
        <f>IF(C584="",NA(),MATCH($B584&amp;$C584,'Smelter Look-up'!$J:$J,0))</f>
        <v>#N/A</v>
      </c>
      <c r="X584" s="170">
        <f t="shared" ca="1" si="48"/>
        <v>0</v>
      </c>
      <c r="AB584" s="313" t="str">
        <f t="shared" si="50"/>
        <v/>
      </c>
      <c r="AC584" s="170" t="str">
        <f t="shared" si="51"/>
        <v/>
      </c>
      <c r="AD584" s="170" t="str">
        <f t="shared" si="52"/>
        <v/>
      </c>
    </row>
    <row r="585" spans="1:30" s="170" customFormat="1" ht="20.399999999999999">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49"/>
        <v/>
      </c>
      <c r="T585" s="155" t="str">
        <f ca="1">IF(B585="","",IF(ISERROR(MATCH($J585,SorP!$B$1:$B$6226,0)),"",INDIRECT("'SorP'!$A$"&amp;MATCH($S585&amp;$J585,SorP!C:C,0))))</f>
        <v/>
      </c>
      <c r="U585" s="168"/>
      <c r="V585" s="169" t="e">
        <f>IF(C585="",NA(),MATCH($B585&amp;$C585,'Smelter Look-up'!$J:$J,0))</f>
        <v>#N/A</v>
      </c>
      <c r="X585" s="170">
        <f t="shared" ca="1" si="48"/>
        <v>0</v>
      </c>
      <c r="AB585" s="313" t="str">
        <f t="shared" si="50"/>
        <v/>
      </c>
      <c r="AC585" s="170" t="str">
        <f t="shared" si="51"/>
        <v/>
      </c>
      <c r="AD585" s="170" t="str">
        <f t="shared" si="52"/>
        <v/>
      </c>
    </row>
    <row r="586" spans="1:30" s="170" customFormat="1" ht="20.399999999999999">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49"/>
        <v/>
      </c>
      <c r="T586" s="155" t="str">
        <f ca="1">IF(B586="","",IF(ISERROR(MATCH($J586,SorP!$B$1:$B$6226,0)),"",INDIRECT("'SorP'!$A$"&amp;MATCH($S586&amp;$J586,SorP!C:C,0))))</f>
        <v/>
      </c>
      <c r="U586" s="168"/>
      <c r="V586" s="169" t="e">
        <f>IF(C586="",NA(),MATCH($B586&amp;$C586,'Smelter Look-up'!$J:$J,0))</f>
        <v>#N/A</v>
      </c>
      <c r="X586" s="170">
        <f t="shared" ca="1" si="48"/>
        <v>0</v>
      </c>
      <c r="AB586" s="313" t="str">
        <f t="shared" si="50"/>
        <v/>
      </c>
      <c r="AC586" s="170" t="str">
        <f t="shared" si="51"/>
        <v/>
      </c>
      <c r="AD586" s="170" t="str">
        <f t="shared" si="52"/>
        <v/>
      </c>
    </row>
    <row r="587" spans="1:30" s="170" customFormat="1" ht="20.399999999999999">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49"/>
        <v/>
      </c>
      <c r="T587" s="155" t="str">
        <f ca="1">IF(B587="","",IF(ISERROR(MATCH($J587,SorP!$B$1:$B$6226,0)),"",INDIRECT("'SorP'!$A$"&amp;MATCH($S587&amp;$J587,SorP!C:C,0))))</f>
        <v/>
      </c>
      <c r="U587" s="168"/>
      <c r="V587" s="169" t="e">
        <f>IF(C587="",NA(),MATCH($B587&amp;$C587,'Smelter Look-up'!$J:$J,0))</f>
        <v>#N/A</v>
      </c>
      <c r="X587" s="170">
        <f t="shared" ca="1" si="48"/>
        <v>0</v>
      </c>
      <c r="AB587" s="313" t="str">
        <f t="shared" si="50"/>
        <v/>
      </c>
      <c r="AC587" s="170" t="str">
        <f t="shared" si="51"/>
        <v/>
      </c>
      <c r="AD587" s="170" t="str">
        <f t="shared" si="52"/>
        <v/>
      </c>
    </row>
    <row r="588" spans="1:30" s="170" customFormat="1" ht="20.399999999999999">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49"/>
        <v/>
      </c>
      <c r="T588" s="155" t="str">
        <f ca="1">IF(B588="","",IF(ISERROR(MATCH($J588,SorP!$B$1:$B$6226,0)),"",INDIRECT("'SorP'!$A$"&amp;MATCH($S588&amp;$J588,SorP!C:C,0))))</f>
        <v/>
      </c>
      <c r="U588" s="168"/>
      <c r="V588" s="169" t="e">
        <f>IF(C588="",NA(),MATCH($B588&amp;$C588,'Smelter Look-up'!$J:$J,0))</f>
        <v>#N/A</v>
      </c>
      <c r="X588" s="170">
        <f t="shared" ca="1" si="48"/>
        <v>0</v>
      </c>
      <c r="AB588" s="313" t="str">
        <f t="shared" si="50"/>
        <v/>
      </c>
      <c r="AC588" s="170" t="str">
        <f t="shared" si="51"/>
        <v/>
      </c>
      <c r="AD588" s="170" t="str">
        <f t="shared" si="52"/>
        <v/>
      </c>
    </row>
    <row r="589" spans="1:30" s="170" customFormat="1" ht="20.399999999999999">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49"/>
        <v/>
      </c>
      <c r="T589" s="155" t="str">
        <f ca="1">IF(B589="","",IF(ISERROR(MATCH($J589,SorP!$B$1:$B$6226,0)),"",INDIRECT("'SorP'!$A$"&amp;MATCH($S589&amp;$J589,SorP!C:C,0))))</f>
        <v/>
      </c>
      <c r="U589" s="168"/>
      <c r="V589" s="169" t="e">
        <f>IF(C589="",NA(),MATCH($B589&amp;$C589,'Smelter Look-up'!$J:$J,0))</f>
        <v>#N/A</v>
      </c>
      <c r="X589" s="170">
        <f t="shared" ca="1" si="48"/>
        <v>0</v>
      </c>
      <c r="AB589" s="313" t="str">
        <f t="shared" si="50"/>
        <v/>
      </c>
      <c r="AC589" s="170" t="str">
        <f t="shared" si="51"/>
        <v/>
      </c>
      <c r="AD589" s="170" t="str">
        <f t="shared" si="52"/>
        <v/>
      </c>
    </row>
    <row r="590" spans="1:30" s="170" customFormat="1" ht="20.399999999999999">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49"/>
        <v/>
      </c>
      <c r="T590" s="155" t="str">
        <f ca="1">IF(B590="","",IF(ISERROR(MATCH($J590,SorP!$B$1:$B$6226,0)),"",INDIRECT("'SorP'!$A$"&amp;MATCH($S590&amp;$J590,SorP!C:C,0))))</f>
        <v/>
      </c>
      <c r="U590" s="168"/>
      <c r="V590" s="169" t="e">
        <f>IF(C590="",NA(),MATCH($B590&amp;$C590,'Smelter Look-up'!$J:$J,0))</f>
        <v>#N/A</v>
      </c>
      <c r="X590" s="170">
        <f t="shared" ca="1" si="48"/>
        <v>0</v>
      </c>
      <c r="AB590" s="313" t="str">
        <f t="shared" si="50"/>
        <v/>
      </c>
      <c r="AC590" s="170" t="str">
        <f t="shared" si="51"/>
        <v/>
      </c>
      <c r="AD590" s="170" t="str">
        <f t="shared" si="52"/>
        <v/>
      </c>
    </row>
    <row r="591" spans="1:30" s="170" customFormat="1" ht="20.399999999999999">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49"/>
        <v/>
      </c>
      <c r="T591" s="155" t="str">
        <f ca="1">IF(B591="","",IF(ISERROR(MATCH($J591,SorP!$B$1:$B$6226,0)),"",INDIRECT("'SorP'!$A$"&amp;MATCH($S591&amp;$J591,SorP!C:C,0))))</f>
        <v/>
      </c>
      <c r="U591" s="168"/>
      <c r="V591" s="169" t="e">
        <f>IF(C591="",NA(),MATCH($B591&amp;$C591,'Smelter Look-up'!$J:$J,0))</f>
        <v>#N/A</v>
      </c>
      <c r="X591" s="170">
        <f t="shared" ca="1" si="48"/>
        <v>0</v>
      </c>
      <c r="AB591" s="313" t="str">
        <f t="shared" si="50"/>
        <v/>
      </c>
      <c r="AC591" s="170" t="str">
        <f t="shared" si="51"/>
        <v/>
      </c>
      <c r="AD591" s="170" t="str">
        <f t="shared" si="52"/>
        <v/>
      </c>
    </row>
    <row r="592" spans="1:30" s="170" customFormat="1" ht="20.399999999999999">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49"/>
        <v/>
      </c>
      <c r="T592" s="155" t="str">
        <f ca="1">IF(B592="","",IF(ISERROR(MATCH($J592,SorP!$B$1:$B$6226,0)),"",INDIRECT("'SorP'!$A$"&amp;MATCH($S592&amp;$J592,SorP!C:C,0))))</f>
        <v/>
      </c>
      <c r="U592" s="168"/>
      <c r="V592" s="169" t="e">
        <f>IF(C592="",NA(),MATCH($B592&amp;$C592,'Smelter Look-up'!$J:$J,0))</f>
        <v>#N/A</v>
      </c>
      <c r="X592" s="170">
        <f t="shared" ca="1" si="48"/>
        <v>0</v>
      </c>
      <c r="AB592" s="313" t="str">
        <f t="shared" si="50"/>
        <v/>
      </c>
      <c r="AC592" s="170" t="str">
        <f t="shared" si="51"/>
        <v/>
      </c>
      <c r="AD592" s="170" t="str">
        <f t="shared" si="52"/>
        <v/>
      </c>
    </row>
    <row r="593" spans="1:30" s="170" customFormat="1" ht="20.399999999999999">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49"/>
        <v/>
      </c>
      <c r="T593" s="155" t="str">
        <f ca="1">IF(B593="","",IF(ISERROR(MATCH($J593,SorP!$B$1:$B$6226,0)),"",INDIRECT("'SorP'!$A$"&amp;MATCH($S593&amp;$J593,SorP!C:C,0))))</f>
        <v/>
      </c>
      <c r="U593" s="168"/>
      <c r="V593" s="169" t="e">
        <f>IF(C593="",NA(),MATCH($B593&amp;$C593,'Smelter Look-up'!$J:$J,0))</f>
        <v>#N/A</v>
      </c>
      <c r="X593" s="170">
        <f t="shared" ca="1" si="48"/>
        <v>0</v>
      </c>
      <c r="AB593" s="313" t="str">
        <f t="shared" si="50"/>
        <v/>
      </c>
      <c r="AC593" s="170" t="str">
        <f t="shared" si="51"/>
        <v/>
      </c>
      <c r="AD593" s="170" t="str">
        <f t="shared" si="52"/>
        <v/>
      </c>
    </row>
    <row r="594" spans="1:30" s="170" customFormat="1" ht="20.399999999999999">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49"/>
        <v/>
      </c>
      <c r="T594" s="155" t="str">
        <f ca="1">IF(B594="","",IF(ISERROR(MATCH($J594,SorP!$B$1:$B$6226,0)),"",INDIRECT("'SorP'!$A$"&amp;MATCH($S594&amp;$J594,SorP!C:C,0))))</f>
        <v/>
      </c>
      <c r="U594" s="168"/>
      <c r="V594" s="169" t="e">
        <f>IF(C594="",NA(),MATCH($B594&amp;$C594,'Smelter Look-up'!$J:$J,0))</f>
        <v>#N/A</v>
      </c>
      <c r="X594" s="170">
        <f t="shared" ca="1" si="48"/>
        <v>0</v>
      </c>
      <c r="AB594" s="313" t="str">
        <f t="shared" si="50"/>
        <v/>
      </c>
      <c r="AC594" s="170" t="str">
        <f t="shared" si="51"/>
        <v/>
      </c>
      <c r="AD594" s="170" t="str">
        <f t="shared" si="52"/>
        <v/>
      </c>
    </row>
    <row r="595" spans="1:30" s="170" customFormat="1" ht="20.399999999999999">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49"/>
        <v/>
      </c>
      <c r="T595" s="155" t="str">
        <f ca="1">IF(B595="","",IF(ISERROR(MATCH($J595,SorP!$B$1:$B$6226,0)),"",INDIRECT("'SorP'!$A$"&amp;MATCH($S595&amp;$J595,SorP!C:C,0))))</f>
        <v/>
      </c>
      <c r="U595" s="168"/>
      <c r="V595" s="169" t="e">
        <f>IF(C595="",NA(),MATCH($B595&amp;$C595,'Smelter Look-up'!$J:$J,0))</f>
        <v>#N/A</v>
      </c>
      <c r="X595" s="170">
        <f t="shared" ca="1" si="48"/>
        <v>0</v>
      </c>
      <c r="AB595" s="313" t="str">
        <f t="shared" si="50"/>
        <v/>
      </c>
      <c r="AC595" s="170" t="str">
        <f t="shared" si="51"/>
        <v/>
      </c>
      <c r="AD595" s="170" t="str">
        <f t="shared" si="52"/>
        <v/>
      </c>
    </row>
    <row r="596" spans="1:30" s="170" customFormat="1" ht="20.399999999999999">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49"/>
        <v/>
      </c>
      <c r="T596" s="155" t="str">
        <f ca="1">IF(B596="","",IF(ISERROR(MATCH($J596,SorP!$B$1:$B$6226,0)),"",INDIRECT("'SorP'!$A$"&amp;MATCH($S596&amp;$J596,SorP!C:C,0))))</f>
        <v/>
      </c>
      <c r="U596" s="168"/>
      <c r="V596" s="169" t="e">
        <f>IF(C596="",NA(),MATCH($B596&amp;$C596,'Smelter Look-up'!$J:$J,0))</f>
        <v>#N/A</v>
      </c>
      <c r="X596" s="170">
        <f t="shared" ca="1" si="48"/>
        <v>0</v>
      </c>
      <c r="AB596" s="313" t="str">
        <f t="shared" si="50"/>
        <v/>
      </c>
      <c r="AC596" s="170" t="str">
        <f t="shared" si="51"/>
        <v/>
      </c>
      <c r="AD596" s="170" t="str">
        <f t="shared" si="52"/>
        <v/>
      </c>
    </row>
    <row r="597" spans="1:30" s="170" customFormat="1" ht="20.399999999999999">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49"/>
        <v/>
      </c>
      <c r="T597" s="155" t="str">
        <f ca="1">IF(B597="","",IF(ISERROR(MATCH($J597,SorP!$B$1:$B$6226,0)),"",INDIRECT("'SorP'!$A$"&amp;MATCH($S597&amp;$J597,SorP!C:C,0))))</f>
        <v/>
      </c>
      <c r="U597" s="168"/>
      <c r="V597" s="169" t="e">
        <f>IF(C597="",NA(),MATCH($B597&amp;$C597,'Smelter Look-up'!$J:$J,0))</f>
        <v>#N/A</v>
      </c>
      <c r="X597" s="170">
        <f t="shared" ca="1" si="48"/>
        <v>0</v>
      </c>
      <c r="AB597" s="313" t="str">
        <f t="shared" si="50"/>
        <v/>
      </c>
      <c r="AC597" s="170" t="str">
        <f t="shared" si="51"/>
        <v/>
      </c>
      <c r="AD597" s="170" t="str">
        <f t="shared" si="52"/>
        <v/>
      </c>
    </row>
    <row r="598" spans="1:30" s="170" customFormat="1" ht="20.399999999999999">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49"/>
        <v/>
      </c>
      <c r="T598" s="155" t="str">
        <f ca="1">IF(B598="","",IF(ISERROR(MATCH($J598,SorP!$B$1:$B$6226,0)),"",INDIRECT("'SorP'!$A$"&amp;MATCH($S598&amp;$J598,SorP!C:C,0))))</f>
        <v/>
      </c>
      <c r="U598" s="168"/>
      <c r="V598" s="169" t="e">
        <f>IF(C598="",NA(),MATCH($B598&amp;$C598,'Smelter Look-up'!$J:$J,0))</f>
        <v>#N/A</v>
      </c>
      <c r="X598" s="170">
        <f t="shared" ca="1" si="48"/>
        <v>0</v>
      </c>
      <c r="AB598" s="313" t="str">
        <f t="shared" si="50"/>
        <v/>
      </c>
      <c r="AC598" s="170" t="str">
        <f t="shared" si="51"/>
        <v/>
      </c>
      <c r="AD598" s="170" t="str">
        <f t="shared" si="52"/>
        <v/>
      </c>
    </row>
    <row r="599" spans="1:30" s="170" customFormat="1" ht="20.399999999999999">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49"/>
        <v/>
      </c>
      <c r="T599" s="155" t="str">
        <f ca="1">IF(B599="","",IF(ISERROR(MATCH($J599,SorP!$B$1:$B$6226,0)),"",INDIRECT("'SorP'!$A$"&amp;MATCH($S599&amp;$J599,SorP!C:C,0))))</f>
        <v/>
      </c>
      <c r="U599" s="168"/>
      <c r="V599" s="169" t="e">
        <f>IF(C599="",NA(),MATCH($B599&amp;$C599,'Smelter Look-up'!$J:$J,0))</f>
        <v>#N/A</v>
      </c>
      <c r="X599" s="170">
        <f t="shared" ca="1" si="48"/>
        <v>0</v>
      </c>
      <c r="AB599" s="313" t="str">
        <f t="shared" si="50"/>
        <v/>
      </c>
      <c r="AC599" s="170" t="str">
        <f t="shared" si="51"/>
        <v/>
      </c>
      <c r="AD599" s="170" t="str">
        <f t="shared" si="52"/>
        <v/>
      </c>
    </row>
    <row r="600" spans="1:30" s="170" customFormat="1" ht="20.399999999999999">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49"/>
        <v/>
      </c>
      <c r="T600" s="155" t="str">
        <f ca="1">IF(B600="","",IF(ISERROR(MATCH($J600,SorP!$B$1:$B$6226,0)),"",INDIRECT("'SorP'!$A$"&amp;MATCH($S600&amp;$J600,SorP!C:C,0))))</f>
        <v/>
      </c>
      <c r="U600" s="168"/>
      <c r="V600" s="169" t="e">
        <f>IF(C600="",NA(),MATCH($B600&amp;$C600,'Smelter Look-up'!$J:$J,0))</f>
        <v>#N/A</v>
      </c>
      <c r="X600" s="170">
        <f t="shared" ca="1" si="48"/>
        <v>0</v>
      </c>
      <c r="AB600" s="313" t="str">
        <f t="shared" si="50"/>
        <v/>
      </c>
      <c r="AC600" s="170" t="str">
        <f t="shared" si="51"/>
        <v/>
      </c>
      <c r="AD600" s="170" t="str">
        <f t="shared" si="52"/>
        <v/>
      </c>
    </row>
    <row r="601" spans="1:30" s="170" customFormat="1" ht="20.399999999999999">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49"/>
        <v/>
      </c>
      <c r="T601" s="155" t="str">
        <f ca="1">IF(B601="","",IF(ISERROR(MATCH($J601,SorP!$B$1:$B$6226,0)),"",INDIRECT("'SorP'!$A$"&amp;MATCH($S601&amp;$J601,SorP!C:C,0))))</f>
        <v/>
      </c>
      <c r="U601" s="168"/>
      <c r="V601" s="169" t="e">
        <f>IF(C601="",NA(),MATCH($B601&amp;$C601,'Smelter Look-up'!$J:$J,0))</f>
        <v>#N/A</v>
      </c>
      <c r="X601" s="170">
        <f t="shared" ca="1" si="48"/>
        <v>0</v>
      </c>
      <c r="AB601" s="313" t="str">
        <f t="shared" si="50"/>
        <v/>
      </c>
      <c r="AC601" s="170" t="str">
        <f t="shared" si="51"/>
        <v/>
      </c>
      <c r="AD601" s="170" t="str">
        <f t="shared" si="52"/>
        <v/>
      </c>
    </row>
    <row r="602" spans="1:30" s="170" customFormat="1" ht="20.399999999999999">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49"/>
        <v/>
      </c>
      <c r="T602" s="155" t="str">
        <f ca="1">IF(B602="","",IF(ISERROR(MATCH($J602,SorP!$B$1:$B$6226,0)),"",INDIRECT("'SorP'!$A$"&amp;MATCH($S602&amp;$J602,SorP!C:C,0))))</f>
        <v/>
      </c>
      <c r="U602" s="168"/>
      <c r="V602" s="169" t="e">
        <f>IF(C602="",NA(),MATCH($B602&amp;$C602,'Smelter Look-up'!$J:$J,0))</f>
        <v>#N/A</v>
      </c>
      <c r="X602" s="170">
        <f t="shared" ca="1" si="48"/>
        <v>0</v>
      </c>
      <c r="AB602" s="313" t="str">
        <f t="shared" si="50"/>
        <v/>
      </c>
      <c r="AC602" s="170" t="str">
        <f t="shared" si="51"/>
        <v/>
      </c>
      <c r="AD602" s="170" t="str">
        <f t="shared" si="52"/>
        <v/>
      </c>
    </row>
    <row r="603" spans="1:30" s="170" customFormat="1" ht="20.399999999999999">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49"/>
        <v/>
      </c>
      <c r="T603" s="155" t="str">
        <f ca="1">IF(B603="","",IF(ISERROR(MATCH($J603,SorP!$B$1:$B$6226,0)),"",INDIRECT("'SorP'!$A$"&amp;MATCH($S603&amp;$J603,SorP!C:C,0))))</f>
        <v/>
      </c>
      <c r="U603" s="168"/>
      <c r="V603" s="169" t="e">
        <f>IF(C603="",NA(),MATCH($B603&amp;$C603,'Smelter Look-up'!$J:$J,0))</f>
        <v>#N/A</v>
      </c>
      <c r="X603" s="170">
        <f t="shared" ca="1" si="48"/>
        <v>0</v>
      </c>
      <c r="AB603" s="313" t="str">
        <f t="shared" si="50"/>
        <v/>
      </c>
      <c r="AC603" s="170" t="str">
        <f t="shared" si="51"/>
        <v/>
      </c>
      <c r="AD603" s="170" t="str">
        <f t="shared" si="52"/>
        <v/>
      </c>
    </row>
    <row r="604" spans="1:30" s="170" customFormat="1" ht="20.399999999999999">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49"/>
        <v/>
      </c>
      <c r="T604" s="155" t="str">
        <f ca="1">IF(B604="","",IF(ISERROR(MATCH($J604,SorP!$B$1:$B$6226,0)),"",INDIRECT("'SorP'!$A$"&amp;MATCH($S604&amp;$J604,SorP!C:C,0))))</f>
        <v/>
      </c>
      <c r="U604" s="168"/>
      <c r="V604" s="169" t="e">
        <f>IF(C604="",NA(),MATCH($B604&amp;$C604,'Smelter Look-up'!$J:$J,0))</f>
        <v>#N/A</v>
      </c>
      <c r="X604" s="170">
        <f t="shared" ca="1" si="48"/>
        <v>0</v>
      </c>
      <c r="AB604" s="313" t="str">
        <f t="shared" si="50"/>
        <v/>
      </c>
      <c r="AC604" s="170" t="str">
        <f t="shared" si="51"/>
        <v/>
      </c>
      <c r="AD604" s="170" t="str">
        <f t="shared" si="52"/>
        <v/>
      </c>
    </row>
    <row r="605" spans="1:30" s="170" customFormat="1" ht="20.399999999999999">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49"/>
        <v/>
      </c>
      <c r="T605" s="155" t="str">
        <f ca="1">IF(B605="","",IF(ISERROR(MATCH($J605,SorP!$B$1:$B$6226,0)),"",INDIRECT("'SorP'!$A$"&amp;MATCH($S605&amp;$J605,SorP!C:C,0))))</f>
        <v/>
      </c>
      <c r="U605" s="168"/>
      <c r="V605" s="169" t="e">
        <f>IF(C605="",NA(),MATCH($B605&amp;$C605,'Smelter Look-up'!$J:$J,0))</f>
        <v>#N/A</v>
      </c>
      <c r="X605" s="170">
        <f t="shared" ca="1" si="48"/>
        <v>0</v>
      </c>
      <c r="AB605" s="313" t="str">
        <f t="shared" si="50"/>
        <v/>
      </c>
      <c r="AC605" s="170" t="str">
        <f t="shared" si="51"/>
        <v/>
      </c>
      <c r="AD605" s="170" t="str">
        <f t="shared" si="52"/>
        <v/>
      </c>
    </row>
    <row r="606" spans="1:30" s="170" customFormat="1" ht="20.399999999999999">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49"/>
        <v/>
      </c>
      <c r="T606" s="155" t="str">
        <f ca="1">IF(B606="","",IF(ISERROR(MATCH($J606,SorP!$B$1:$B$6226,0)),"",INDIRECT("'SorP'!$A$"&amp;MATCH($S606&amp;$J606,SorP!C:C,0))))</f>
        <v/>
      </c>
      <c r="U606" s="168"/>
      <c r="V606" s="169" t="e">
        <f>IF(C606="",NA(),MATCH($B606&amp;$C606,'Smelter Look-up'!$J:$J,0))</f>
        <v>#N/A</v>
      </c>
      <c r="X606" s="170">
        <f t="shared" ca="1" si="48"/>
        <v>0</v>
      </c>
      <c r="AB606" s="313" t="str">
        <f t="shared" si="50"/>
        <v/>
      </c>
      <c r="AC606" s="170" t="str">
        <f t="shared" si="51"/>
        <v/>
      </c>
      <c r="AD606" s="170" t="str">
        <f t="shared" si="52"/>
        <v/>
      </c>
    </row>
    <row r="607" spans="1:30" s="170" customFormat="1" ht="20.399999999999999">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49"/>
        <v/>
      </c>
      <c r="T607" s="155" t="str">
        <f ca="1">IF(B607="","",IF(ISERROR(MATCH($J607,SorP!$B$1:$B$6226,0)),"",INDIRECT("'SorP'!$A$"&amp;MATCH($S607&amp;$J607,SorP!C:C,0))))</f>
        <v/>
      </c>
      <c r="U607" s="168"/>
      <c r="V607" s="169" t="e">
        <f>IF(C607="",NA(),MATCH($B607&amp;$C607,'Smelter Look-up'!$J:$J,0))</f>
        <v>#N/A</v>
      </c>
      <c r="X607" s="170">
        <f t="shared" ca="1" si="48"/>
        <v>0</v>
      </c>
      <c r="AB607" s="313" t="str">
        <f t="shared" si="50"/>
        <v/>
      </c>
      <c r="AC607" s="170" t="str">
        <f t="shared" si="51"/>
        <v/>
      </c>
      <c r="AD607" s="170" t="str">
        <f t="shared" si="52"/>
        <v/>
      </c>
    </row>
    <row r="608" spans="1:30" s="170" customFormat="1" ht="20.399999999999999">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49"/>
        <v/>
      </c>
      <c r="T608" s="155" t="str">
        <f ca="1">IF(B608="","",IF(ISERROR(MATCH($J608,SorP!$B$1:$B$6226,0)),"",INDIRECT("'SorP'!$A$"&amp;MATCH($S608&amp;$J608,SorP!C:C,0))))</f>
        <v/>
      </c>
      <c r="U608" s="168"/>
      <c r="V608" s="169" t="e">
        <f>IF(C608="",NA(),MATCH($B608&amp;$C608,'Smelter Look-up'!$J:$J,0))</f>
        <v>#N/A</v>
      </c>
      <c r="X608" s="170">
        <f t="shared" ca="1" si="48"/>
        <v>0</v>
      </c>
      <c r="AB608" s="313" t="str">
        <f t="shared" si="50"/>
        <v/>
      </c>
      <c r="AC608" s="170" t="str">
        <f t="shared" si="51"/>
        <v/>
      </c>
      <c r="AD608" s="170" t="str">
        <f t="shared" si="52"/>
        <v/>
      </c>
    </row>
    <row r="609" spans="1:30" s="170" customFormat="1" ht="20.399999999999999">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49"/>
        <v/>
      </c>
      <c r="T609" s="155" t="str">
        <f ca="1">IF(B609="","",IF(ISERROR(MATCH($J609,SorP!$B$1:$B$6226,0)),"",INDIRECT("'SorP'!$A$"&amp;MATCH($S609&amp;$J609,SorP!C:C,0))))</f>
        <v/>
      </c>
      <c r="U609" s="168"/>
      <c r="V609" s="169" t="e">
        <f>IF(C609="",NA(),MATCH($B609&amp;$C609,'Smelter Look-up'!$J:$J,0))</f>
        <v>#N/A</v>
      </c>
      <c r="X609" s="170">
        <f t="shared" ca="1" si="48"/>
        <v>0</v>
      </c>
      <c r="AB609" s="313" t="str">
        <f t="shared" si="50"/>
        <v/>
      </c>
      <c r="AC609" s="170" t="str">
        <f t="shared" si="51"/>
        <v/>
      </c>
      <c r="AD609" s="170" t="str">
        <f t="shared" si="52"/>
        <v/>
      </c>
    </row>
    <row r="610" spans="1:30" s="170" customFormat="1" ht="20.399999999999999">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49"/>
        <v/>
      </c>
      <c r="T610" s="155" t="str">
        <f ca="1">IF(B610="","",IF(ISERROR(MATCH($J610,SorP!$B$1:$B$6226,0)),"",INDIRECT("'SorP'!$A$"&amp;MATCH($S610&amp;$J610,SorP!C:C,0))))</f>
        <v/>
      </c>
      <c r="U610" s="168"/>
      <c r="V610" s="169" t="e">
        <f>IF(C610="",NA(),MATCH($B610&amp;$C610,'Smelter Look-up'!$J:$J,0))</f>
        <v>#N/A</v>
      </c>
      <c r="X610" s="170">
        <f t="shared" ca="1" si="48"/>
        <v>0</v>
      </c>
      <c r="AB610" s="313" t="str">
        <f t="shared" si="50"/>
        <v/>
      </c>
      <c r="AC610" s="170" t="str">
        <f t="shared" si="51"/>
        <v/>
      </c>
      <c r="AD610" s="170" t="str">
        <f t="shared" si="52"/>
        <v/>
      </c>
    </row>
    <row r="611" spans="1:30" s="170" customFormat="1" ht="20.399999999999999">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49"/>
        <v/>
      </c>
      <c r="T611" s="155" t="str">
        <f ca="1">IF(B611="","",IF(ISERROR(MATCH($J611,SorP!$B$1:$B$6226,0)),"",INDIRECT("'SorP'!$A$"&amp;MATCH($S611&amp;$J611,SorP!C:C,0))))</f>
        <v/>
      </c>
      <c r="U611" s="168"/>
      <c r="V611" s="169" t="e">
        <f>IF(C611="",NA(),MATCH($B611&amp;$C611,'Smelter Look-up'!$J:$J,0))</f>
        <v>#N/A</v>
      </c>
      <c r="X611" s="170">
        <f t="shared" ca="1" si="48"/>
        <v>0</v>
      </c>
      <c r="AB611" s="313" t="str">
        <f t="shared" si="50"/>
        <v/>
      </c>
      <c r="AC611" s="170" t="str">
        <f t="shared" si="51"/>
        <v/>
      </c>
      <c r="AD611" s="170" t="str">
        <f t="shared" si="52"/>
        <v/>
      </c>
    </row>
    <row r="612" spans="1:30" s="170" customFormat="1" ht="20.399999999999999">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49"/>
        <v/>
      </c>
      <c r="T612" s="155" t="str">
        <f ca="1">IF(B612="","",IF(ISERROR(MATCH($J612,SorP!$B$1:$B$6226,0)),"",INDIRECT("'SorP'!$A$"&amp;MATCH($S612&amp;$J612,SorP!C:C,0))))</f>
        <v/>
      </c>
      <c r="U612" s="168"/>
      <c r="V612" s="169" t="e">
        <f>IF(C612="",NA(),MATCH($B612&amp;$C612,'Smelter Look-up'!$J:$J,0))</f>
        <v>#N/A</v>
      </c>
      <c r="X612" s="170">
        <f t="shared" ca="1" si="48"/>
        <v>0</v>
      </c>
      <c r="AB612" s="313" t="str">
        <f t="shared" si="50"/>
        <v/>
      </c>
      <c r="AC612" s="170" t="str">
        <f t="shared" si="51"/>
        <v/>
      </c>
      <c r="AD612" s="170" t="str">
        <f t="shared" si="52"/>
        <v/>
      </c>
    </row>
    <row r="613" spans="1:30" s="170" customFormat="1" ht="20.399999999999999">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49"/>
        <v/>
      </c>
      <c r="T613" s="155" t="str">
        <f ca="1">IF(B613="","",IF(ISERROR(MATCH($J613,SorP!$B$1:$B$6226,0)),"",INDIRECT("'SorP'!$A$"&amp;MATCH($S613&amp;$J613,SorP!C:C,0))))</f>
        <v/>
      </c>
      <c r="U613" s="168"/>
      <c r="V613" s="169" t="e">
        <f>IF(C613="",NA(),MATCH($B613&amp;$C613,'Smelter Look-up'!$J:$J,0))</f>
        <v>#N/A</v>
      </c>
      <c r="X613" s="170">
        <f t="shared" ca="1" si="48"/>
        <v>0</v>
      </c>
      <c r="AB613" s="313" t="str">
        <f t="shared" si="50"/>
        <v/>
      </c>
      <c r="AC613" s="170" t="str">
        <f t="shared" si="51"/>
        <v/>
      </c>
      <c r="AD613" s="170" t="str">
        <f t="shared" si="52"/>
        <v/>
      </c>
    </row>
    <row r="614" spans="1:30" s="170" customFormat="1" ht="20.399999999999999">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49"/>
        <v/>
      </c>
      <c r="T614" s="155" t="str">
        <f ca="1">IF(B614="","",IF(ISERROR(MATCH($J614,SorP!$B$1:$B$6226,0)),"",INDIRECT("'SorP'!$A$"&amp;MATCH($S614&amp;$J614,SorP!C:C,0))))</f>
        <v/>
      </c>
      <c r="U614" s="168"/>
      <c r="V614" s="169" t="e">
        <f>IF(C614="",NA(),MATCH($B614&amp;$C614,'Smelter Look-up'!$J:$J,0))</f>
        <v>#N/A</v>
      </c>
      <c r="X614" s="170">
        <f t="shared" ca="1" si="48"/>
        <v>0</v>
      </c>
      <c r="AB614" s="313" t="str">
        <f t="shared" si="50"/>
        <v/>
      </c>
      <c r="AC614" s="170" t="str">
        <f t="shared" si="51"/>
        <v/>
      </c>
      <c r="AD614" s="170" t="str">
        <f t="shared" si="52"/>
        <v/>
      </c>
    </row>
    <row r="615" spans="1:30" s="170" customFormat="1" ht="20.399999999999999">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49"/>
        <v/>
      </c>
      <c r="T615" s="155" t="str">
        <f ca="1">IF(B615="","",IF(ISERROR(MATCH($J615,SorP!$B$1:$B$6226,0)),"",INDIRECT("'SorP'!$A$"&amp;MATCH($S615&amp;$J615,SorP!C:C,0))))</f>
        <v/>
      </c>
      <c r="U615" s="168"/>
      <c r="V615" s="169" t="e">
        <f>IF(C615="",NA(),MATCH($B615&amp;$C615,'Smelter Look-up'!$J:$J,0))</f>
        <v>#N/A</v>
      </c>
      <c r="X615" s="170">
        <f t="shared" ca="1" si="48"/>
        <v>0</v>
      </c>
      <c r="AB615" s="313" t="str">
        <f t="shared" si="50"/>
        <v/>
      </c>
      <c r="AC615" s="170" t="str">
        <f t="shared" si="51"/>
        <v/>
      </c>
      <c r="AD615" s="170" t="str">
        <f t="shared" si="52"/>
        <v/>
      </c>
    </row>
    <row r="616" spans="1:30" s="170" customFormat="1" ht="20.399999999999999">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49"/>
        <v/>
      </c>
      <c r="T616" s="155" t="str">
        <f ca="1">IF(B616="","",IF(ISERROR(MATCH($J616,SorP!$B$1:$B$6226,0)),"",INDIRECT("'SorP'!$A$"&amp;MATCH($S616&amp;$J616,SorP!C:C,0))))</f>
        <v/>
      </c>
      <c r="U616" s="168"/>
      <c r="V616" s="169" t="e">
        <f>IF(C616="",NA(),MATCH($B616&amp;$C616,'Smelter Look-up'!$J:$J,0))</f>
        <v>#N/A</v>
      </c>
      <c r="X616" s="170">
        <f t="shared" ca="1" si="48"/>
        <v>0</v>
      </c>
      <c r="AB616" s="313" t="str">
        <f t="shared" si="50"/>
        <v/>
      </c>
      <c r="AC616" s="170" t="str">
        <f t="shared" si="51"/>
        <v/>
      </c>
      <c r="AD616" s="170" t="str">
        <f t="shared" si="52"/>
        <v/>
      </c>
    </row>
    <row r="617" spans="1:30" s="170" customFormat="1" ht="20.399999999999999">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49"/>
        <v/>
      </c>
      <c r="T617" s="155" t="str">
        <f ca="1">IF(B617="","",IF(ISERROR(MATCH($J617,SorP!$B$1:$B$6226,0)),"",INDIRECT("'SorP'!$A$"&amp;MATCH($S617&amp;$J617,SorP!C:C,0))))</f>
        <v/>
      </c>
      <c r="U617" s="168"/>
      <c r="V617" s="169" t="e">
        <f>IF(C617="",NA(),MATCH($B617&amp;$C617,'Smelter Look-up'!$J:$J,0))</f>
        <v>#N/A</v>
      </c>
      <c r="X617" s="170">
        <f t="shared" ca="1" si="48"/>
        <v>0</v>
      </c>
      <c r="AB617" s="313" t="str">
        <f t="shared" si="50"/>
        <v/>
      </c>
      <c r="AC617" s="170" t="str">
        <f t="shared" si="51"/>
        <v/>
      </c>
      <c r="AD617" s="170" t="str">
        <f t="shared" si="52"/>
        <v/>
      </c>
    </row>
    <row r="618" spans="1:30" s="170" customFormat="1" ht="20.399999999999999">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49"/>
        <v/>
      </c>
      <c r="T618" s="155" t="str">
        <f ca="1">IF(B618="","",IF(ISERROR(MATCH($J618,SorP!$B$1:$B$6226,0)),"",INDIRECT("'SorP'!$A$"&amp;MATCH($S618&amp;$J618,SorP!C:C,0))))</f>
        <v/>
      </c>
      <c r="U618" s="168"/>
      <c r="V618" s="169" t="e">
        <f>IF(C618="",NA(),MATCH($B618&amp;$C618,'Smelter Look-up'!$J:$J,0))</f>
        <v>#N/A</v>
      </c>
      <c r="X618" s="170">
        <f t="shared" ca="1" si="48"/>
        <v>0</v>
      </c>
      <c r="AB618" s="313" t="str">
        <f t="shared" si="50"/>
        <v/>
      </c>
      <c r="AC618" s="170" t="str">
        <f t="shared" si="51"/>
        <v/>
      </c>
      <c r="AD618" s="170" t="str">
        <f t="shared" si="52"/>
        <v/>
      </c>
    </row>
    <row r="619" spans="1:30" s="170" customFormat="1" ht="20.399999999999999">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49"/>
        <v/>
      </c>
      <c r="T619" s="155" t="str">
        <f ca="1">IF(B619="","",IF(ISERROR(MATCH($J619,SorP!$B$1:$B$6226,0)),"",INDIRECT("'SorP'!$A$"&amp;MATCH($S619&amp;$J619,SorP!C:C,0))))</f>
        <v/>
      </c>
      <c r="U619" s="168"/>
      <c r="V619" s="169" t="e">
        <f>IF(C619="",NA(),MATCH($B619&amp;$C619,'Smelter Look-up'!$J:$J,0))</f>
        <v>#N/A</v>
      </c>
      <c r="X619" s="170">
        <f t="shared" ca="1" si="48"/>
        <v>0</v>
      </c>
      <c r="AB619" s="313" t="str">
        <f t="shared" si="50"/>
        <v/>
      </c>
      <c r="AC619" s="170" t="str">
        <f t="shared" si="51"/>
        <v/>
      </c>
      <c r="AD619" s="170" t="str">
        <f t="shared" si="52"/>
        <v/>
      </c>
    </row>
    <row r="620" spans="1:30" s="170" customFormat="1" ht="20.399999999999999">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49"/>
        <v/>
      </c>
      <c r="T620" s="155" t="str">
        <f ca="1">IF(B620="","",IF(ISERROR(MATCH($J620,SorP!$B$1:$B$6226,0)),"",INDIRECT("'SorP'!$A$"&amp;MATCH($S620&amp;$J620,SorP!C:C,0))))</f>
        <v/>
      </c>
      <c r="U620" s="168"/>
      <c r="V620" s="169" t="e">
        <f>IF(C620="",NA(),MATCH($B620&amp;$C620,'Smelter Look-up'!$J:$J,0))</f>
        <v>#N/A</v>
      </c>
      <c r="X620" s="170">
        <f t="shared" ca="1" si="48"/>
        <v>0</v>
      </c>
      <c r="AB620" s="313" t="str">
        <f t="shared" si="50"/>
        <v/>
      </c>
      <c r="AC620" s="170" t="str">
        <f t="shared" si="51"/>
        <v/>
      </c>
      <c r="AD620" s="170" t="str">
        <f t="shared" si="52"/>
        <v/>
      </c>
    </row>
    <row r="621" spans="1:30" s="170" customFormat="1" ht="20.399999999999999">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49"/>
        <v/>
      </c>
      <c r="T621" s="155" t="str">
        <f ca="1">IF(B621="","",IF(ISERROR(MATCH($J621,SorP!$B$1:$B$6226,0)),"",INDIRECT("'SorP'!$A$"&amp;MATCH($S621&amp;$J621,SorP!C:C,0))))</f>
        <v/>
      </c>
      <c r="U621" s="168"/>
      <c r="V621" s="169" t="e">
        <f>IF(C621="",NA(),MATCH($B621&amp;$C621,'Smelter Look-up'!$J:$J,0))</f>
        <v>#N/A</v>
      </c>
      <c r="X621" s="170">
        <f t="shared" ca="1" si="48"/>
        <v>0</v>
      </c>
      <c r="AB621" s="313" t="str">
        <f t="shared" si="50"/>
        <v/>
      </c>
      <c r="AC621" s="170" t="str">
        <f t="shared" si="51"/>
        <v/>
      </c>
      <c r="AD621" s="170" t="str">
        <f t="shared" si="52"/>
        <v/>
      </c>
    </row>
    <row r="622" spans="1:30" s="170" customFormat="1" ht="20.399999999999999">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49"/>
        <v/>
      </c>
      <c r="T622" s="155" t="str">
        <f ca="1">IF(B622="","",IF(ISERROR(MATCH($J622,SorP!$B$1:$B$6226,0)),"",INDIRECT("'SorP'!$A$"&amp;MATCH($S622&amp;$J622,SorP!C:C,0))))</f>
        <v/>
      </c>
      <c r="U622" s="168"/>
      <c r="V622" s="169" t="e">
        <f>IF(C622="",NA(),MATCH($B622&amp;$C622,'Smelter Look-up'!$J:$J,0))</f>
        <v>#N/A</v>
      </c>
      <c r="X622" s="170">
        <f t="shared" ca="1" si="48"/>
        <v>0</v>
      </c>
      <c r="AB622" s="313" t="str">
        <f t="shared" si="50"/>
        <v/>
      </c>
      <c r="AC622" s="170" t="str">
        <f t="shared" si="51"/>
        <v/>
      </c>
      <c r="AD622" s="170" t="str">
        <f t="shared" si="52"/>
        <v/>
      </c>
    </row>
    <row r="623" spans="1:30" s="170" customFormat="1" ht="20.399999999999999">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49"/>
        <v/>
      </c>
      <c r="T623" s="155" t="str">
        <f ca="1">IF(B623="","",IF(ISERROR(MATCH($J623,SorP!$B$1:$B$6226,0)),"",INDIRECT("'SorP'!$A$"&amp;MATCH($S623&amp;$J623,SorP!C:C,0))))</f>
        <v/>
      </c>
      <c r="U623" s="168"/>
      <c r="V623" s="169" t="e">
        <f>IF(C623="",NA(),MATCH($B623&amp;$C623,'Smelter Look-up'!$J:$J,0))</f>
        <v>#N/A</v>
      </c>
      <c r="X623" s="170">
        <f t="shared" ca="1" si="48"/>
        <v>0</v>
      </c>
      <c r="AB623" s="313" t="str">
        <f t="shared" si="50"/>
        <v/>
      </c>
      <c r="AC623" s="170" t="str">
        <f t="shared" si="51"/>
        <v/>
      </c>
      <c r="AD623" s="170" t="str">
        <f t="shared" si="52"/>
        <v/>
      </c>
    </row>
    <row r="624" spans="1:30" s="170" customFormat="1" ht="20.399999999999999">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49"/>
        <v/>
      </c>
      <c r="T624" s="155" t="str">
        <f ca="1">IF(B624="","",IF(ISERROR(MATCH($J624,SorP!$B$1:$B$6226,0)),"",INDIRECT("'SorP'!$A$"&amp;MATCH($S624&amp;$J624,SorP!C:C,0))))</f>
        <v/>
      </c>
      <c r="U624" s="168"/>
      <c r="V624" s="169" t="e">
        <f>IF(C624="",NA(),MATCH($B624&amp;$C624,'Smelter Look-up'!$J:$J,0))</f>
        <v>#N/A</v>
      </c>
      <c r="X624" s="170">
        <f t="shared" ca="1" si="48"/>
        <v>0</v>
      </c>
      <c r="AB624" s="313" t="str">
        <f t="shared" si="50"/>
        <v/>
      </c>
      <c r="AC624" s="170" t="str">
        <f t="shared" si="51"/>
        <v/>
      </c>
      <c r="AD624" s="170" t="str">
        <f t="shared" si="52"/>
        <v/>
      </c>
    </row>
    <row r="625" spans="1:30" s="170" customFormat="1" ht="20.399999999999999">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49"/>
        <v/>
      </c>
      <c r="T625" s="155" t="str">
        <f ca="1">IF(B625="","",IF(ISERROR(MATCH($J625,SorP!$B$1:$B$6226,0)),"",INDIRECT("'SorP'!$A$"&amp;MATCH($S625&amp;$J625,SorP!C:C,0))))</f>
        <v/>
      </c>
      <c r="U625" s="168"/>
      <c r="V625" s="169" t="e">
        <f>IF(C625="",NA(),MATCH($B625&amp;$C625,'Smelter Look-up'!$J:$J,0))</f>
        <v>#N/A</v>
      </c>
      <c r="X625" s="170">
        <f t="shared" ca="1" si="48"/>
        <v>0</v>
      </c>
      <c r="AB625" s="313" t="str">
        <f t="shared" si="50"/>
        <v/>
      </c>
      <c r="AC625" s="170" t="str">
        <f t="shared" si="51"/>
        <v/>
      </c>
      <c r="AD625" s="170" t="str">
        <f t="shared" si="52"/>
        <v/>
      </c>
    </row>
    <row r="626" spans="1:30" s="170" customFormat="1" ht="20.399999999999999">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49"/>
        <v/>
      </c>
      <c r="T626" s="155" t="str">
        <f ca="1">IF(B626="","",IF(ISERROR(MATCH($J626,SorP!$B$1:$B$6226,0)),"",INDIRECT("'SorP'!$A$"&amp;MATCH($S626&amp;$J626,SorP!C:C,0))))</f>
        <v/>
      </c>
      <c r="U626" s="168"/>
      <c r="V626" s="169" t="e">
        <f>IF(C626="",NA(),MATCH($B626&amp;$C626,'Smelter Look-up'!$J:$J,0))</f>
        <v>#N/A</v>
      </c>
      <c r="X626" s="170">
        <f t="shared" ca="1" si="48"/>
        <v>0</v>
      </c>
      <c r="AB626" s="313" t="str">
        <f t="shared" si="50"/>
        <v/>
      </c>
      <c r="AC626" s="170" t="str">
        <f t="shared" si="51"/>
        <v/>
      </c>
      <c r="AD626" s="170" t="str">
        <f t="shared" si="52"/>
        <v/>
      </c>
    </row>
    <row r="627" spans="1:30" s="170" customFormat="1" ht="20.399999999999999">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49"/>
        <v/>
      </c>
      <c r="T627" s="155" t="str">
        <f ca="1">IF(B627="","",IF(ISERROR(MATCH($J627,SorP!$B$1:$B$6226,0)),"",INDIRECT("'SorP'!$A$"&amp;MATCH($S627&amp;$J627,SorP!C:C,0))))</f>
        <v/>
      </c>
      <c r="U627" s="168"/>
      <c r="V627" s="169" t="e">
        <f>IF(C627="",NA(),MATCH($B627&amp;$C627,'Smelter Look-up'!$J:$J,0))</f>
        <v>#N/A</v>
      </c>
      <c r="X627" s="170">
        <f t="shared" ca="1" si="48"/>
        <v>0</v>
      </c>
      <c r="AB627" s="313" t="str">
        <f t="shared" si="50"/>
        <v/>
      </c>
      <c r="AC627" s="170" t="str">
        <f t="shared" si="51"/>
        <v/>
      </c>
      <c r="AD627" s="170" t="str">
        <f t="shared" si="52"/>
        <v/>
      </c>
    </row>
    <row r="628" spans="1:30" s="170" customFormat="1" ht="20.399999999999999">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49"/>
        <v/>
      </c>
      <c r="T628" s="155" t="str">
        <f ca="1">IF(B628="","",IF(ISERROR(MATCH($J628,SorP!$B$1:$B$6226,0)),"",INDIRECT("'SorP'!$A$"&amp;MATCH($S628&amp;$J628,SorP!C:C,0))))</f>
        <v/>
      </c>
      <c r="U628" s="168"/>
      <c r="V628" s="169" t="e">
        <f>IF(C628="",NA(),MATCH($B628&amp;$C628,'Smelter Look-up'!$J:$J,0))</f>
        <v>#N/A</v>
      </c>
      <c r="X628" s="170">
        <f t="shared" ca="1" si="48"/>
        <v>0</v>
      </c>
      <c r="AB628" s="313" t="str">
        <f t="shared" si="50"/>
        <v/>
      </c>
      <c r="AC628" s="170" t="str">
        <f t="shared" si="51"/>
        <v/>
      </c>
      <c r="AD628" s="170" t="str">
        <f t="shared" si="52"/>
        <v/>
      </c>
    </row>
    <row r="629" spans="1:30" s="170" customFormat="1" ht="20.399999999999999">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49"/>
        <v/>
      </c>
      <c r="T629" s="155" t="str">
        <f ca="1">IF(B629="","",IF(ISERROR(MATCH($J629,SorP!$B$1:$B$6226,0)),"",INDIRECT("'SorP'!$A$"&amp;MATCH($S629&amp;$J629,SorP!C:C,0))))</f>
        <v/>
      </c>
      <c r="U629" s="168"/>
      <c r="V629" s="169" t="e">
        <f>IF(C629="",NA(),MATCH($B629&amp;$C629,'Smelter Look-up'!$J:$J,0))</f>
        <v>#N/A</v>
      </c>
      <c r="X629" s="170">
        <f t="shared" ca="1" si="48"/>
        <v>0</v>
      </c>
      <c r="AB629" s="313" t="str">
        <f t="shared" si="50"/>
        <v/>
      </c>
      <c r="AC629" s="170" t="str">
        <f t="shared" si="51"/>
        <v/>
      </c>
      <c r="AD629" s="170" t="str">
        <f t="shared" si="52"/>
        <v/>
      </c>
    </row>
    <row r="630" spans="1:30" s="170" customFormat="1" ht="20.399999999999999">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49"/>
        <v/>
      </c>
      <c r="T630" s="155" t="str">
        <f ca="1">IF(B630="","",IF(ISERROR(MATCH($J630,SorP!$B$1:$B$6226,0)),"",INDIRECT("'SorP'!$A$"&amp;MATCH($S630&amp;$J630,SorP!C:C,0))))</f>
        <v/>
      </c>
      <c r="U630" s="168"/>
      <c r="V630" s="169" t="e">
        <f>IF(C630="",NA(),MATCH($B630&amp;$C630,'Smelter Look-up'!$J:$J,0))</f>
        <v>#N/A</v>
      </c>
      <c r="X630" s="170">
        <f t="shared" ca="1" si="48"/>
        <v>0</v>
      </c>
      <c r="AB630" s="313" t="str">
        <f t="shared" si="50"/>
        <v/>
      </c>
      <c r="AC630" s="170" t="str">
        <f t="shared" si="51"/>
        <v/>
      </c>
      <c r="AD630" s="170" t="str">
        <f t="shared" si="52"/>
        <v/>
      </c>
    </row>
    <row r="631" spans="1:30" s="170" customFormat="1" ht="20.399999999999999">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49"/>
        <v/>
      </c>
      <c r="T631" s="155" t="str">
        <f ca="1">IF(B631="","",IF(ISERROR(MATCH($J631,SorP!$B$1:$B$6226,0)),"",INDIRECT("'SorP'!$A$"&amp;MATCH($S631&amp;$J631,SorP!C:C,0))))</f>
        <v/>
      </c>
      <c r="U631" s="168"/>
      <c r="V631" s="169" t="e">
        <f>IF(C631="",NA(),MATCH($B631&amp;$C631,'Smelter Look-up'!$J:$J,0))</f>
        <v>#N/A</v>
      </c>
      <c r="X631" s="170">
        <f t="shared" ca="1" si="48"/>
        <v>0</v>
      </c>
      <c r="AB631" s="313" t="str">
        <f t="shared" si="50"/>
        <v/>
      </c>
      <c r="AC631" s="170" t="str">
        <f t="shared" si="51"/>
        <v/>
      </c>
      <c r="AD631" s="170" t="str">
        <f t="shared" si="52"/>
        <v/>
      </c>
    </row>
    <row r="632" spans="1:30" s="170" customFormat="1" ht="20.399999999999999">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49"/>
        <v/>
      </c>
      <c r="T632" s="155" t="str">
        <f ca="1">IF(B632="","",IF(ISERROR(MATCH($J632,SorP!$B$1:$B$6226,0)),"",INDIRECT("'SorP'!$A$"&amp;MATCH($S632&amp;$J632,SorP!C:C,0))))</f>
        <v/>
      </c>
      <c r="U632" s="168"/>
      <c r="V632" s="169" t="e">
        <f>IF(C632="",NA(),MATCH($B632&amp;$C632,'Smelter Look-up'!$J:$J,0))</f>
        <v>#N/A</v>
      </c>
      <c r="X632" s="170">
        <f t="shared" ca="1" si="48"/>
        <v>0</v>
      </c>
      <c r="AB632" s="313" t="str">
        <f t="shared" si="50"/>
        <v/>
      </c>
      <c r="AC632" s="170" t="str">
        <f t="shared" si="51"/>
        <v/>
      </c>
      <c r="AD632" s="170" t="str">
        <f t="shared" si="52"/>
        <v/>
      </c>
    </row>
    <row r="633" spans="1:30" s="170" customFormat="1" ht="20.399999999999999">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49"/>
        <v/>
      </c>
      <c r="T633" s="155" t="str">
        <f ca="1">IF(B633="","",IF(ISERROR(MATCH($J633,SorP!$B$1:$B$6226,0)),"",INDIRECT("'SorP'!$A$"&amp;MATCH($S633&amp;$J633,SorP!C:C,0))))</f>
        <v/>
      </c>
      <c r="U633" s="168"/>
      <c r="V633" s="169" t="e">
        <f>IF(C633="",NA(),MATCH($B633&amp;$C633,'Smelter Look-up'!$J:$J,0))</f>
        <v>#N/A</v>
      </c>
      <c r="X633" s="170">
        <f t="shared" ca="1" si="48"/>
        <v>0</v>
      </c>
      <c r="AB633" s="313" t="str">
        <f t="shared" si="50"/>
        <v/>
      </c>
      <c r="AC633" s="170" t="str">
        <f t="shared" si="51"/>
        <v/>
      </c>
      <c r="AD633" s="170" t="str">
        <f t="shared" si="52"/>
        <v/>
      </c>
    </row>
    <row r="634" spans="1:30" s="170" customFormat="1" ht="20.399999999999999">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49"/>
        <v/>
      </c>
      <c r="T634" s="155" t="str">
        <f ca="1">IF(B634="","",IF(ISERROR(MATCH($J634,SorP!$B$1:$B$6226,0)),"",INDIRECT("'SorP'!$A$"&amp;MATCH($S634&amp;$J634,SorP!C:C,0))))</f>
        <v/>
      </c>
      <c r="U634" s="168"/>
      <c r="V634" s="169" t="e">
        <f>IF(C634="",NA(),MATCH($B634&amp;$C634,'Smelter Look-up'!$J:$J,0))</f>
        <v>#N/A</v>
      </c>
      <c r="X634" s="170">
        <f t="shared" ca="1" si="48"/>
        <v>0</v>
      </c>
      <c r="AB634" s="313" t="str">
        <f t="shared" si="50"/>
        <v/>
      </c>
      <c r="AC634" s="170" t="str">
        <f t="shared" si="51"/>
        <v/>
      </c>
      <c r="AD634" s="170" t="str">
        <f t="shared" si="52"/>
        <v/>
      </c>
    </row>
    <row r="635" spans="1:30" s="170" customFormat="1" ht="20.399999999999999">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49"/>
        <v/>
      </c>
      <c r="T635" s="155" t="str">
        <f ca="1">IF(B635="","",IF(ISERROR(MATCH($J635,SorP!$B$1:$B$6226,0)),"",INDIRECT("'SorP'!$A$"&amp;MATCH($S635&amp;$J635,SorP!C:C,0))))</f>
        <v/>
      </c>
      <c r="U635" s="168"/>
      <c r="V635" s="169" t="e">
        <f>IF(C635="",NA(),MATCH($B635&amp;$C635,'Smelter Look-up'!$J:$J,0))</f>
        <v>#N/A</v>
      </c>
      <c r="X635" s="170">
        <f t="shared" ca="1" si="48"/>
        <v>0</v>
      </c>
      <c r="AB635" s="313" t="str">
        <f t="shared" si="50"/>
        <v/>
      </c>
      <c r="AC635" s="170" t="str">
        <f t="shared" si="51"/>
        <v/>
      </c>
      <c r="AD635" s="170" t="str">
        <f t="shared" si="52"/>
        <v/>
      </c>
    </row>
    <row r="636" spans="1:30" s="170" customFormat="1" ht="20.399999999999999">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49"/>
        <v/>
      </c>
      <c r="T636" s="155" t="str">
        <f ca="1">IF(B636="","",IF(ISERROR(MATCH($J636,SorP!$B$1:$B$6226,0)),"",INDIRECT("'SorP'!$A$"&amp;MATCH($S636&amp;$J636,SorP!C:C,0))))</f>
        <v/>
      </c>
      <c r="U636" s="168"/>
      <c r="V636" s="169" t="e">
        <f>IF(C636="",NA(),MATCH($B636&amp;$C636,'Smelter Look-up'!$J:$J,0))</f>
        <v>#N/A</v>
      </c>
      <c r="X636" s="170">
        <f t="shared" ca="1" si="48"/>
        <v>0</v>
      </c>
      <c r="AB636" s="313" t="str">
        <f t="shared" si="50"/>
        <v/>
      </c>
      <c r="AC636" s="170" t="str">
        <f t="shared" si="51"/>
        <v/>
      </c>
      <c r="AD636" s="170" t="str">
        <f t="shared" si="52"/>
        <v/>
      </c>
    </row>
    <row r="637" spans="1:30" s="170" customFormat="1" ht="20.399999999999999">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49"/>
        <v/>
      </c>
      <c r="T637" s="155" t="str">
        <f ca="1">IF(B637="","",IF(ISERROR(MATCH($J637,SorP!$B$1:$B$6226,0)),"",INDIRECT("'SorP'!$A$"&amp;MATCH($S637&amp;$J637,SorP!C:C,0))))</f>
        <v/>
      </c>
      <c r="U637" s="168"/>
      <c r="V637" s="169" t="e">
        <f>IF(C637="",NA(),MATCH($B637&amp;$C637,'Smelter Look-up'!$J:$J,0))</f>
        <v>#N/A</v>
      </c>
      <c r="X637" s="170">
        <f t="shared" ca="1" si="48"/>
        <v>0</v>
      </c>
      <c r="AB637" s="313" t="str">
        <f t="shared" si="50"/>
        <v/>
      </c>
      <c r="AC637" s="170" t="str">
        <f t="shared" si="51"/>
        <v/>
      </c>
      <c r="AD637" s="170" t="str">
        <f t="shared" si="52"/>
        <v/>
      </c>
    </row>
    <row r="638" spans="1:30" s="170" customFormat="1" ht="20.399999999999999">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49"/>
        <v/>
      </c>
      <c r="T638" s="155" t="str">
        <f ca="1">IF(B638="","",IF(ISERROR(MATCH($J638,SorP!$B$1:$B$6226,0)),"",INDIRECT("'SorP'!$A$"&amp;MATCH($S638&amp;$J638,SorP!C:C,0))))</f>
        <v/>
      </c>
      <c r="U638" s="168"/>
      <c r="V638" s="169" t="e">
        <f>IF(C638="",NA(),MATCH($B638&amp;$C638,'Smelter Look-up'!$J:$J,0))</f>
        <v>#N/A</v>
      </c>
      <c r="X638" s="170">
        <f t="shared" ca="1" si="48"/>
        <v>0</v>
      </c>
      <c r="AB638" s="313" t="str">
        <f t="shared" si="50"/>
        <v/>
      </c>
      <c r="AC638" s="170" t="str">
        <f t="shared" si="51"/>
        <v/>
      </c>
      <c r="AD638" s="170" t="str">
        <f t="shared" si="52"/>
        <v/>
      </c>
    </row>
    <row r="639" spans="1:30" s="170" customFormat="1" ht="20.399999999999999">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49"/>
        <v/>
      </c>
      <c r="T639" s="155" t="str">
        <f ca="1">IF(B639="","",IF(ISERROR(MATCH($J639,SorP!$B$1:$B$6226,0)),"",INDIRECT("'SorP'!$A$"&amp;MATCH($S639&amp;$J639,SorP!C:C,0))))</f>
        <v/>
      </c>
      <c r="U639" s="168"/>
      <c r="V639" s="169" t="e">
        <f>IF(C639="",NA(),MATCH($B639&amp;$C639,'Smelter Look-up'!$J:$J,0))</f>
        <v>#N/A</v>
      </c>
      <c r="X639" s="170">
        <f t="shared" ref="X639:X702" ca="1" si="53">IF(AND(C639="Smelter not listed",OR(LEN(D639)=0,LEN(E639)=0)),1,0)</f>
        <v>0</v>
      </c>
      <c r="AB639" s="313" t="str">
        <f t="shared" si="50"/>
        <v/>
      </c>
      <c r="AC639" s="170" t="str">
        <f t="shared" si="51"/>
        <v/>
      </c>
      <c r="AD639" s="170" t="str">
        <f t="shared" si="52"/>
        <v/>
      </c>
    </row>
    <row r="640" spans="1:30" s="170" customFormat="1" ht="20.399999999999999">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ref="S640:S703" ca="1" si="5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53"/>
        <v>0</v>
      </c>
      <c r="AB640" s="313" t="str">
        <f t="shared" si="50"/>
        <v/>
      </c>
      <c r="AC640" s="170" t="str">
        <f t="shared" si="51"/>
        <v/>
      </c>
      <c r="AD640" s="170" t="str">
        <f t="shared" si="52"/>
        <v/>
      </c>
    </row>
    <row r="641" spans="1:30" s="170" customFormat="1" ht="20.399999999999999">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54"/>
        <v/>
      </c>
      <c r="T641" s="155" t="str">
        <f ca="1">IF(B641="","",IF(ISERROR(MATCH($J641,SorP!$B$1:$B$6226,0)),"",INDIRECT("'SorP'!$A$"&amp;MATCH($S641&amp;$J641,SorP!C:C,0))))</f>
        <v/>
      </c>
      <c r="U641" s="168"/>
      <c r="V641" s="169" t="e">
        <f>IF(C641="",NA(),MATCH($B641&amp;$C641,'Smelter Look-up'!$J:$J,0))</f>
        <v>#N/A</v>
      </c>
      <c r="X641" s="170">
        <f t="shared" ca="1" si="53"/>
        <v>0</v>
      </c>
      <c r="AB641" s="313" t="str">
        <f t="shared" si="50"/>
        <v/>
      </c>
      <c r="AC641" s="170" t="str">
        <f t="shared" si="51"/>
        <v/>
      </c>
      <c r="AD641" s="170" t="str">
        <f t="shared" si="52"/>
        <v/>
      </c>
    </row>
    <row r="642" spans="1:30" s="170" customFormat="1" ht="20.399999999999999">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54"/>
        <v/>
      </c>
      <c r="T642" s="155" t="str">
        <f ca="1">IF(B642="","",IF(ISERROR(MATCH($J642,SorP!$B$1:$B$6226,0)),"",INDIRECT("'SorP'!$A$"&amp;MATCH($S642&amp;$J642,SorP!C:C,0))))</f>
        <v/>
      </c>
      <c r="U642" s="168"/>
      <c r="V642" s="169" t="e">
        <f>IF(C642="",NA(),MATCH($B642&amp;$C642,'Smelter Look-up'!$J:$J,0))</f>
        <v>#N/A</v>
      </c>
      <c r="X642" s="170">
        <f t="shared" ca="1" si="53"/>
        <v>0</v>
      </c>
      <c r="AB642" s="313" t="str">
        <f t="shared" si="50"/>
        <v/>
      </c>
      <c r="AC642" s="170" t="str">
        <f t="shared" si="51"/>
        <v/>
      </c>
      <c r="AD642" s="170" t="str">
        <f t="shared" si="52"/>
        <v/>
      </c>
    </row>
    <row r="643" spans="1:30" s="170" customFormat="1" ht="20.399999999999999">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54"/>
        <v/>
      </c>
      <c r="T643" s="155" t="str">
        <f ca="1">IF(B643="","",IF(ISERROR(MATCH($J643,SorP!$B$1:$B$6226,0)),"",INDIRECT("'SorP'!$A$"&amp;MATCH($S643&amp;$J643,SorP!C:C,0))))</f>
        <v/>
      </c>
      <c r="U643" s="168"/>
      <c r="V643" s="169" t="e">
        <f>IF(C643="",NA(),MATCH($B643&amp;$C643,'Smelter Look-up'!$J:$J,0))</f>
        <v>#N/A</v>
      </c>
      <c r="X643" s="170">
        <f t="shared" ca="1" si="53"/>
        <v>0</v>
      </c>
      <c r="AB643" s="313" t="str">
        <f t="shared" si="50"/>
        <v/>
      </c>
      <c r="AC643" s="170" t="str">
        <f t="shared" si="51"/>
        <v/>
      </c>
      <c r="AD643" s="170" t="str">
        <f t="shared" si="52"/>
        <v/>
      </c>
    </row>
    <row r="644" spans="1:30" s="170" customFormat="1" ht="20.399999999999999">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54"/>
        <v/>
      </c>
      <c r="T644" s="155" t="str">
        <f ca="1">IF(B644="","",IF(ISERROR(MATCH($J644,SorP!$B$1:$B$6226,0)),"",INDIRECT("'SorP'!$A$"&amp;MATCH($S644&amp;$J644,SorP!C:C,0))))</f>
        <v/>
      </c>
      <c r="U644" s="168"/>
      <c r="V644" s="169" t="e">
        <f>IF(C644="",NA(),MATCH($B644&amp;$C644,'Smelter Look-up'!$J:$J,0))</f>
        <v>#N/A</v>
      </c>
      <c r="X644" s="170">
        <f t="shared" ca="1" si="53"/>
        <v>0</v>
      </c>
      <c r="AB644" s="313" t="str">
        <f t="shared" si="50"/>
        <v/>
      </c>
      <c r="AC644" s="170" t="str">
        <f t="shared" si="51"/>
        <v/>
      </c>
      <c r="AD644" s="170" t="str">
        <f t="shared" si="52"/>
        <v/>
      </c>
    </row>
    <row r="645" spans="1:30" s="170" customFormat="1" ht="20.399999999999999">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54"/>
        <v/>
      </c>
      <c r="T645" s="155" t="str">
        <f ca="1">IF(B645="","",IF(ISERROR(MATCH($J645,SorP!$B$1:$B$6226,0)),"",INDIRECT("'SorP'!$A$"&amp;MATCH($S645&amp;$J645,SorP!C:C,0))))</f>
        <v/>
      </c>
      <c r="U645" s="168"/>
      <c r="V645" s="169" t="e">
        <f>IF(C645="",NA(),MATCH($B645&amp;$C645,'Smelter Look-up'!$J:$J,0))</f>
        <v>#N/A</v>
      </c>
      <c r="X645" s="170">
        <f t="shared" ca="1" si="53"/>
        <v>0</v>
      </c>
      <c r="AB645" s="313" t="str">
        <f t="shared" si="50"/>
        <v/>
      </c>
      <c r="AC645" s="170" t="str">
        <f t="shared" si="51"/>
        <v/>
      </c>
      <c r="AD645" s="170" t="str">
        <f t="shared" si="52"/>
        <v/>
      </c>
    </row>
    <row r="646" spans="1:30" s="170" customFormat="1" ht="20.399999999999999">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54"/>
        <v/>
      </c>
      <c r="T646" s="155" t="str">
        <f ca="1">IF(B646="","",IF(ISERROR(MATCH($J646,SorP!$B$1:$B$6226,0)),"",INDIRECT("'SorP'!$A$"&amp;MATCH($S646&amp;$J646,SorP!C:C,0))))</f>
        <v/>
      </c>
      <c r="U646" s="168"/>
      <c r="V646" s="169" t="e">
        <f>IF(C646="",NA(),MATCH($B646&amp;$C646,'Smelter Look-up'!$J:$J,0))</f>
        <v>#N/A</v>
      </c>
      <c r="X646" s="170">
        <f t="shared" ca="1" si="53"/>
        <v>0</v>
      </c>
      <c r="AB646" s="313" t="str">
        <f t="shared" ref="AB646:AB709" si="55">IF(C646="","",B646)</f>
        <v/>
      </c>
      <c r="AC646" s="170" t="str">
        <f t="shared" ref="AC646:AC709" si="56">B646</f>
        <v/>
      </c>
      <c r="AD646" s="170" t="str">
        <f t="shared" ref="AD646:AD709" si="57">IF(C646="Smelter not listed",D646,C646)</f>
        <v/>
      </c>
    </row>
    <row r="647" spans="1:30" s="170" customFormat="1" ht="20.399999999999999">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54"/>
        <v/>
      </c>
      <c r="T647" s="155" t="str">
        <f ca="1">IF(B647="","",IF(ISERROR(MATCH($J647,SorP!$B$1:$B$6226,0)),"",INDIRECT("'SorP'!$A$"&amp;MATCH($S647&amp;$J647,SorP!C:C,0))))</f>
        <v/>
      </c>
      <c r="U647" s="168"/>
      <c r="V647" s="169" t="e">
        <f>IF(C647="",NA(),MATCH($B647&amp;$C647,'Smelter Look-up'!$J:$J,0))</f>
        <v>#N/A</v>
      </c>
      <c r="X647" s="170">
        <f t="shared" ca="1" si="53"/>
        <v>0</v>
      </c>
      <c r="AB647" s="313" t="str">
        <f t="shared" si="55"/>
        <v/>
      </c>
      <c r="AC647" s="170" t="str">
        <f t="shared" si="56"/>
        <v/>
      </c>
      <c r="AD647" s="170" t="str">
        <f t="shared" si="57"/>
        <v/>
      </c>
    </row>
    <row r="648" spans="1:30" s="170" customFormat="1" ht="20.399999999999999">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54"/>
        <v/>
      </c>
      <c r="T648" s="155" t="str">
        <f ca="1">IF(B648="","",IF(ISERROR(MATCH($J648,SorP!$B$1:$B$6226,0)),"",INDIRECT("'SorP'!$A$"&amp;MATCH($S648&amp;$J648,SorP!C:C,0))))</f>
        <v/>
      </c>
      <c r="U648" s="168"/>
      <c r="V648" s="169" t="e">
        <f>IF(C648="",NA(),MATCH($B648&amp;$C648,'Smelter Look-up'!$J:$J,0))</f>
        <v>#N/A</v>
      </c>
      <c r="X648" s="170">
        <f t="shared" ca="1" si="53"/>
        <v>0</v>
      </c>
      <c r="AB648" s="313" t="str">
        <f t="shared" si="55"/>
        <v/>
      </c>
      <c r="AC648" s="170" t="str">
        <f t="shared" si="56"/>
        <v/>
      </c>
      <c r="AD648" s="170" t="str">
        <f t="shared" si="57"/>
        <v/>
      </c>
    </row>
    <row r="649" spans="1:30" s="170" customFormat="1" ht="20.399999999999999">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54"/>
        <v/>
      </c>
      <c r="T649" s="155" t="str">
        <f ca="1">IF(B649="","",IF(ISERROR(MATCH($J649,SorP!$B$1:$B$6226,0)),"",INDIRECT("'SorP'!$A$"&amp;MATCH($S649&amp;$J649,SorP!C:C,0))))</f>
        <v/>
      </c>
      <c r="U649" s="168"/>
      <c r="V649" s="169" t="e">
        <f>IF(C649="",NA(),MATCH($B649&amp;$C649,'Smelter Look-up'!$J:$J,0))</f>
        <v>#N/A</v>
      </c>
      <c r="X649" s="170">
        <f t="shared" ca="1" si="53"/>
        <v>0</v>
      </c>
      <c r="AB649" s="313" t="str">
        <f t="shared" si="55"/>
        <v/>
      </c>
      <c r="AC649" s="170" t="str">
        <f t="shared" si="56"/>
        <v/>
      </c>
      <c r="AD649" s="170" t="str">
        <f t="shared" si="57"/>
        <v/>
      </c>
    </row>
    <row r="650" spans="1:30" s="170" customFormat="1" ht="20.399999999999999">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54"/>
        <v/>
      </c>
      <c r="T650" s="155" t="str">
        <f ca="1">IF(B650="","",IF(ISERROR(MATCH($J650,SorP!$B$1:$B$6226,0)),"",INDIRECT("'SorP'!$A$"&amp;MATCH($S650&amp;$J650,SorP!C:C,0))))</f>
        <v/>
      </c>
      <c r="U650" s="168"/>
      <c r="V650" s="169" t="e">
        <f>IF(C650="",NA(),MATCH($B650&amp;$C650,'Smelter Look-up'!$J:$J,0))</f>
        <v>#N/A</v>
      </c>
      <c r="X650" s="170">
        <f t="shared" ca="1" si="53"/>
        <v>0</v>
      </c>
      <c r="AB650" s="313" t="str">
        <f t="shared" si="55"/>
        <v/>
      </c>
      <c r="AC650" s="170" t="str">
        <f t="shared" si="56"/>
        <v/>
      </c>
      <c r="AD650" s="170" t="str">
        <f t="shared" si="57"/>
        <v/>
      </c>
    </row>
    <row r="651" spans="1:30" s="170" customFormat="1" ht="20.399999999999999">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54"/>
        <v/>
      </c>
      <c r="T651" s="155" t="str">
        <f ca="1">IF(B651="","",IF(ISERROR(MATCH($J651,SorP!$B$1:$B$6226,0)),"",INDIRECT("'SorP'!$A$"&amp;MATCH($S651&amp;$J651,SorP!C:C,0))))</f>
        <v/>
      </c>
      <c r="U651" s="168"/>
      <c r="V651" s="169" t="e">
        <f>IF(C651="",NA(),MATCH($B651&amp;$C651,'Smelter Look-up'!$J:$J,0))</f>
        <v>#N/A</v>
      </c>
      <c r="X651" s="170">
        <f t="shared" ca="1" si="53"/>
        <v>0</v>
      </c>
      <c r="AB651" s="313" t="str">
        <f t="shared" si="55"/>
        <v/>
      </c>
      <c r="AC651" s="170" t="str">
        <f t="shared" si="56"/>
        <v/>
      </c>
      <c r="AD651" s="170" t="str">
        <f t="shared" si="57"/>
        <v/>
      </c>
    </row>
    <row r="652" spans="1:30" s="170" customFormat="1" ht="20.399999999999999">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54"/>
        <v/>
      </c>
      <c r="T652" s="155" t="str">
        <f ca="1">IF(B652="","",IF(ISERROR(MATCH($J652,SorP!$B$1:$B$6226,0)),"",INDIRECT("'SorP'!$A$"&amp;MATCH($S652&amp;$J652,SorP!C:C,0))))</f>
        <v/>
      </c>
      <c r="U652" s="168"/>
      <c r="V652" s="169" t="e">
        <f>IF(C652="",NA(),MATCH($B652&amp;$C652,'Smelter Look-up'!$J:$J,0))</f>
        <v>#N/A</v>
      </c>
      <c r="X652" s="170">
        <f t="shared" ca="1" si="53"/>
        <v>0</v>
      </c>
      <c r="AB652" s="313" t="str">
        <f t="shared" si="55"/>
        <v/>
      </c>
      <c r="AC652" s="170" t="str">
        <f t="shared" si="56"/>
        <v/>
      </c>
      <c r="AD652" s="170" t="str">
        <f t="shared" si="57"/>
        <v/>
      </c>
    </row>
    <row r="653" spans="1:30" s="170" customFormat="1" ht="20.399999999999999">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54"/>
        <v/>
      </c>
      <c r="T653" s="155" t="str">
        <f ca="1">IF(B653="","",IF(ISERROR(MATCH($J653,SorP!$B$1:$B$6226,0)),"",INDIRECT("'SorP'!$A$"&amp;MATCH($S653&amp;$J653,SorP!C:C,0))))</f>
        <v/>
      </c>
      <c r="U653" s="168"/>
      <c r="V653" s="169" t="e">
        <f>IF(C653="",NA(),MATCH($B653&amp;$C653,'Smelter Look-up'!$J:$J,0))</f>
        <v>#N/A</v>
      </c>
      <c r="X653" s="170">
        <f t="shared" ca="1" si="53"/>
        <v>0</v>
      </c>
      <c r="AB653" s="313" t="str">
        <f t="shared" si="55"/>
        <v/>
      </c>
      <c r="AC653" s="170" t="str">
        <f t="shared" si="56"/>
        <v/>
      </c>
      <c r="AD653" s="170" t="str">
        <f t="shared" si="57"/>
        <v/>
      </c>
    </row>
    <row r="654" spans="1:30" s="170" customFormat="1" ht="20.399999999999999">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54"/>
        <v/>
      </c>
      <c r="T654" s="155" t="str">
        <f ca="1">IF(B654="","",IF(ISERROR(MATCH($J654,SorP!$B$1:$B$6226,0)),"",INDIRECT("'SorP'!$A$"&amp;MATCH($S654&amp;$J654,SorP!C:C,0))))</f>
        <v/>
      </c>
      <c r="U654" s="168"/>
      <c r="V654" s="169" t="e">
        <f>IF(C654="",NA(),MATCH($B654&amp;$C654,'Smelter Look-up'!$J:$J,0))</f>
        <v>#N/A</v>
      </c>
      <c r="X654" s="170">
        <f t="shared" ca="1" si="53"/>
        <v>0</v>
      </c>
      <c r="AB654" s="313" t="str">
        <f t="shared" si="55"/>
        <v/>
      </c>
      <c r="AC654" s="170" t="str">
        <f t="shared" si="56"/>
        <v/>
      </c>
      <c r="AD654" s="170" t="str">
        <f t="shared" si="57"/>
        <v/>
      </c>
    </row>
    <row r="655" spans="1:30" s="170" customFormat="1" ht="20.399999999999999">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54"/>
        <v/>
      </c>
      <c r="T655" s="155" t="str">
        <f ca="1">IF(B655="","",IF(ISERROR(MATCH($J655,SorP!$B$1:$B$6226,0)),"",INDIRECT("'SorP'!$A$"&amp;MATCH($S655&amp;$J655,SorP!C:C,0))))</f>
        <v/>
      </c>
      <c r="U655" s="168"/>
      <c r="V655" s="169" t="e">
        <f>IF(C655="",NA(),MATCH($B655&amp;$C655,'Smelter Look-up'!$J:$J,0))</f>
        <v>#N/A</v>
      </c>
      <c r="X655" s="170">
        <f t="shared" ca="1" si="53"/>
        <v>0</v>
      </c>
      <c r="AB655" s="313" t="str">
        <f t="shared" si="55"/>
        <v/>
      </c>
      <c r="AC655" s="170" t="str">
        <f t="shared" si="56"/>
        <v/>
      </c>
      <c r="AD655" s="170" t="str">
        <f t="shared" si="57"/>
        <v/>
      </c>
    </row>
    <row r="656" spans="1:30" s="170" customFormat="1" ht="20.399999999999999">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54"/>
        <v/>
      </c>
      <c r="T656" s="155" t="str">
        <f ca="1">IF(B656="","",IF(ISERROR(MATCH($J656,SorP!$B$1:$B$6226,0)),"",INDIRECT("'SorP'!$A$"&amp;MATCH($S656&amp;$J656,SorP!C:C,0))))</f>
        <v/>
      </c>
      <c r="U656" s="168"/>
      <c r="V656" s="169" t="e">
        <f>IF(C656="",NA(),MATCH($B656&amp;$C656,'Smelter Look-up'!$J:$J,0))</f>
        <v>#N/A</v>
      </c>
      <c r="X656" s="170">
        <f t="shared" ca="1" si="53"/>
        <v>0</v>
      </c>
      <c r="AB656" s="313" t="str">
        <f t="shared" si="55"/>
        <v/>
      </c>
      <c r="AC656" s="170" t="str">
        <f t="shared" si="56"/>
        <v/>
      </c>
      <c r="AD656" s="170" t="str">
        <f t="shared" si="57"/>
        <v/>
      </c>
    </row>
    <row r="657" spans="1:30" s="170" customFormat="1" ht="20.399999999999999">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54"/>
        <v/>
      </c>
      <c r="T657" s="155" t="str">
        <f ca="1">IF(B657="","",IF(ISERROR(MATCH($J657,SorP!$B$1:$B$6226,0)),"",INDIRECT("'SorP'!$A$"&amp;MATCH($S657&amp;$J657,SorP!C:C,0))))</f>
        <v/>
      </c>
      <c r="U657" s="168"/>
      <c r="V657" s="169" t="e">
        <f>IF(C657="",NA(),MATCH($B657&amp;$C657,'Smelter Look-up'!$J:$J,0))</f>
        <v>#N/A</v>
      </c>
      <c r="X657" s="170">
        <f t="shared" ca="1" si="53"/>
        <v>0</v>
      </c>
      <c r="AB657" s="313" t="str">
        <f t="shared" si="55"/>
        <v/>
      </c>
      <c r="AC657" s="170" t="str">
        <f t="shared" si="56"/>
        <v/>
      </c>
      <c r="AD657" s="170" t="str">
        <f t="shared" si="57"/>
        <v/>
      </c>
    </row>
    <row r="658" spans="1:30" s="170" customFormat="1" ht="20.399999999999999">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54"/>
        <v/>
      </c>
      <c r="T658" s="155" t="str">
        <f ca="1">IF(B658="","",IF(ISERROR(MATCH($J658,SorP!$B$1:$B$6226,0)),"",INDIRECT("'SorP'!$A$"&amp;MATCH($S658&amp;$J658,SorP!C:C,0))))</f>
        <v/>
      </c>
      <c r="U658" s="168"/>
      <c r="V658" s="169" t="e">
        <f>IF(C658="",NA(),MATCH($B658&amp;$C658,'Smelter Look-up'!$J:$J,0))</f>
        <v>#N/A</v>
      </c>
      <c r="X658" s="170">
        <f t="shared" ca="1" si="53"/>
        <v>0</v>
      </c>
      <c r="AB658" s="313" t="str">
        <f t="shared" si="55"/>
        <v/>
      </c>
      <c r="AC658" s="170" t="str">
        <f t="shared" si="56"/>
        <v/>
      </c>
      <c r="AD658" s="170" t="str">
        <f t="shared" si="57"/>
        <v/>
      </c>
    </row>
    <row r="659" spans="1:30" s="170" customFormat="1" ht="20.399999999999999">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54"/>
        <v/>
      </c>
      <c r="T659" s="155" t="str">
        <f ca="1">IF(B659="","",IF(ISERROR(MATCH($J659,SorP!$B$1:$B$6226,0)),"",INDIRECT("'SorP'!$A$"&amp;MATCH($S659&amp;$J659,SorP!C:C,0))))</f>
        <v/>
      </c>
      <c r="U659" s="168"/>
      <c r="V659" s="169" t="e">
        <f>IF(C659="",NA(),MATCH($B659&amp;$C659,'Smelter Look-up'!$J:$J,0))</f>
        <v>#N/A</v>
      </c>
      <c r="X659" s="170">
        <f t="shared" ca="1" si="53"/>
        <v>0</v>
      </c>
      <c r="AB659" s="313" t="str">
        <f t="shared" si="55"/>
        <v/>
      </c>
      <c r="AC659" s="170" t="str">
        <f t="shared" si="56"/>
        <v/>
      </c>
      <c r="AD659" s="170" t="str">
        <f t="shared" si="57"/>
        <v/>
      </c>
    </row>
    <row r="660" spans="1:30" s="170" customFormat="1" ht="20.399999999999999">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54"/>
        <v/>
      </c>
      <c r="T660" s="155" t="str">
        <f ca="1">IF(B660="","",IF(ISERROR(MATCH($J660,SorP!$B$1:$B$6226,0)),"",INDIRECT("'SorP'!$A$"&amp;MATCH($S660&amp;$J660,SorP!C:C,0))))</f>
        <v/>
      </c>
      <c r="U660" s="168"/>
      <c r="V660" s="169" t="e">
        <f>IF(C660="",NA(),MATCH($B660&amp;$C660,'Smelter Look-up'!$J:$J,0))</f>
        <v>#N/A</v>
      </c>
      <c r="X660" s="170">
        <f t="shared" ca="1" si="53"/>
        <v>0</v>
      </c>
      <c r="AB660" s="313" t="str">
        <f t="shared" si="55"/>
        <v/>
      </c>
      <c r="AC660" s="170" t="str">
        <f t="shared" si="56"/>
        <v/>
      </c>
      <c r="AD660" s="170" t="str">
        <f t="shared" si="57"/>
        <v/>
      </c>
    </row>
    <row r="661" spans="1:30" s="170" customFormat="1" ht="20.399999999999999">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54"/>
        <v/>
      </c>
      <c r="T661" s="155" t="str">
        <f ca="1">IF(B661="","",IF(ISERROR(MATCH($J661,SorP!$B$1:$B$6226,0)),"",INDIRECT("'SorP'!$A$"&amp;MATCH($S661&amp;$J661,SorP!C:C,0))))</f>
        <v/>
      </c>
      <c r="U661" s="168"/>
      <c r="V661" s="169" t="e">
        <f>IF(C661="",NA(),MATCH($B661&amp;$C661,'Smelter Look-up'!$J:$J,0))</f>
        <v>#N/A</v>
      </c>
      <c r="X661" s="170">
        <f t="shared" ca="1" si="53"/>
        <v>0</v>
      </c>
      <c r="AB661" s="313" t="str">
        <f t="shared" si="55"/>
        <v/>
      </c>
      <c r="AC661" s="170" t="str">
        <f t="shared" si="56"/>
        <v/>
      </c>
      <c r="AD661" s="170" t="str">
        <f t="shared" si="57"/>
        <v/>
      </c>
    </row>
    <row r="662" spans="1:30" s="170" customFormat="1" ht="20.399999999999999">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54"/>
        <v/>
      </c>
      <c r="T662" s="155" t="str">
        <f ca="1">IF(B662="","",IF(ISERROR(MATCH($J662,SorP!$B$1:$B$6226,0)),"",INDIRECT("'SorP'!$A$"&amp;MATCH($S662&amp;$J662,SorP!C:C,0))))</f>
        <v/>
      </c>
      <c r="U662" s="168"/>
      <c r="V662" s="169" t="e">
        <f>IF(C662="",NA(),MATCH($B662&amp;$C662,'Smelter Look-up'!$J:$J,0))</f>
        <v>#N/A</v>
      </c>
      <c r="X662" s="170">
        <f t="shared" ca="1" si="53"/>
        <v>0</v>
      </c>
      <c r="AB662" s="313" t="str">
        <f t="shared" si="55"/>
        <v/>
      </c>
      <c r="AC662" s="170" t="str">
        <f t="shared" si="56"/>
        <v/>
      </c>
      <c r="AD662" s="170" t="str">
        <f t="shared" si="57"/>
        <v/>
      </c>
    </row>
    <row r="663" spans="1:30" s="170" customFormat="1" ht="20.399999999999999">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54"/>
        <v/>
      </c>
      <c r="T663" s="155" t="str">
        <f ca="1">IF(B663="","",IF(ISERROR(MATCH($J663,SorP!$B$1:$B$6226,0)),"",INDIRECT("'SorP'!$A$"&amp;MATCH($S663&amp;$J663,SorP!C:C,0))))</f>
        <v/>
      </c>
      <c r="U663" s="168"/>
      <c r="V663" s="169" t="e">
        <f>IF(C663="",NA(),MATCH($B663&amp;$C663,'Smelter Look-up'!$J:$J,0))</f>
        <v>#N/A</v>
      </c>
      <c r="X663" s="170">
        <f t="shared" ca="1" si="53"/>
        <v>0</v>
      </c>
      <c r="AB663" s="313" t="str">
        <f t="shared" si="55"/>
        <v/>
      </c>
      <c r="AC663" s="170" t="str">
        <f t="shared" si="56"/>
        <v/>
      </c>
      <c r="AD663" s="170" t="str">
        <f t="shared" si="57"/>
        <v/>
      </c>
    </row>
    <row r="664" spans="1:30" s="170" customFormat="1" ht="20.399999999999999">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54"/>
        <v/>
      </c>
      <c r="T664" s="155" t="str">
        <f ca="1">IF(B664="","",IF(ISERROR(MATCH($J664,SorP!$B$1:$B$6226,0)),"",INDIRECT("'SorP'!$A$"&amp;MATCH($S664&amp;$J664,SorP!C:C,0))))</f>
        <v/>
      </c>
      <c r="U664" s="168"/>
      <c r="V664" s="169" t="e">
        <f>IF(C664="",NA(),MATCH($B664&amp;$C664,'Smelter Look-up'!$J:$J,0))</f>
        <v>#N/A</v>
      </c>
      <c r="X664" s="170">
        <f t="shared" ca="1" si="53"/>
        <v>0</v>
      </c>
      <c r="AB664" s="313" t="str">
        <f t="shared" si="55"/>
        <v/>
      </c>
      <c r="AC664" s="170" t="str">
        <f t="shared" si="56"/>
        <v/>
      </c>
      <c r="AD664" s="170" t="str">
        <f t="shared" si="57"/>
        <v/>
      </c>
    </row>
    <row r="665" spans="1:30" s="170" customFormat="1" ht="20.399999999999999">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54"/>
        <v/>
      </c>
      <c r="T665" s="155" t="str">
        <f ca="1">IF(B665="","",IF(ISERROR(MATCH($J665,SorP!$B$1:$B$6226,0)),"",INDIRECT("'SorP'!$A$"&amp;MATCH($S665&amp;$J665,SorP!C:C,0))))</f>
        <v/>
      </c>
      <c r="U665" s="168"/>
      <c r="V665" s="169" t="e">
        <f>IF(C665="",NA(),MATCH($B665&amp;$C665,'Smelter Look-up'!$J:$J,0))</f>
        <v>#N/A</v>
      </c>
      <c r="X665" s="170">
        <f t="shared" ca="1" si="53"/>
        <v>0</v>
      </c>
      <c r="AB665" s="313" t="str">
        <f t="shared" si="55"/>
        <v/>
      </c>
      <c r="AC665" s="170" t="str">
        <f t="shared" si="56"/>
        <v/>
      </c>
      <c r="AD665" s="170" t="str">
        <f t="shared" si="57"/>
        <v/>
      </c>
    </row>
    <row r="666" spans="1:30" s="170" customFormat="1" ht="20.399999999999999">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54"/>
        <v/>
      </c>
      <c r="T666" s="155" t="str">
        <f ca="1">IF(B666="","",IF(ISERROR(MATCH($J666,SorP!$B$1:$B$6226,0)),"",INDIRECT("'SorP'!$A$"&amp;MATCH($S666&amp;$J666,SorP!C:C,0))))</f>
        <v/>
      </c>
      <c r="U666" s="168"/>
      <c r="V666" s="169" t="e">
        <f>IF(C666="",NA(),MATCH($B666&amp;$C666,'Smelter Look-up'!$J:$J,0))</f>
        <v>#N/A</v>
      </c>
      <c r="X666" s="170">
        <f t="shared" ca="1" si="53"/>
        <v>0</v>
      </c>
      <c r="AB666" s="313" t="str">
        <f t="shared" si="55"/>
        <v/>
      </c>
      <c r="AC666" s="170" t="str">
        <f t="shared" si="56"/>
        <v/>
      </c>
      <c r="AD666" s="170" t="str">
        <f t="shared" si="57"/>
        <v/>
      </c>
    </row>
    <row r="667" spans="1:30" s="170" customFormat="1" ht="20.399999999999999">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54"/>
        <v/>
      </c>
      <c r="T667" s="155" t="str">
        <f ca="1">IF(B667="","",IF(ISERROR(MATCH($J667,SorP!$B$1:$B$6226,0)),"",INDIRECT("'SorP'!$A$"&amp;MATCH($S667&amp;$J667,SorP!C:C,0))))</f>
        <v/>
      </c>
      <c r="U667" s="168"/>
      <c r="V667" s="169" t="e">
        <f>IF(C667="",NA(),MATCH($B667&amp;$C667,'Smelter Look-up'!$J:$J,0))</f>
        <v>#N/A</v>
      </c>
      <c r="X667" s="170">
        <f t="shared" ca="1" si="53"/>
        <v>0</v>
      </c>
      <c r="AB667" s="313" t="str">
        <f t="shared" si="55"/>
        <v/>
      </c>
      <c r="AC667" s="170" t="str">
        <f t="shared" si="56"/>
        <v/>
      </c>
      <c r="AD667" s="170" t="str">
        <f t="shared" si="57"/>
        <v/>
      </c>
    </row>
    <row r="668" spans="1:30" s="170" customFormat="1" ht="20.399999999999999">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54"/>
        <v/>
      </c>
      <c r="T668" s="155" t="str">
        <f ca="1">IF(B668="","",IF(ISERROR(MATCH($J668,SorP!$B$1:$B$6226,0)),"",INDIRECT("'SorP'!$A$"&amp;MATCH($S668&amp;$J668,SorP!C:C,0))))</f>
        <v/>
      </c>
      <c r="U668" s="168"/>
      <c r="V668" s="169" t="e">
        <f>IF(C668="",NA(),MATCH($B668&amp;$C668,'Smelter Look-up'!$J:$J,0))</f>
        <v>#N/A</v>
      </c>
      <c r="X668" s="170">
        <f t="shared" ca="1" si="53"/>
        <v>0</v>
      </c>
      <c r="AB668" s="313" t="str">
        <f t="shared" si="55"/>
        <v/>
      </c>
      <c r="AC668" s="170" t="str">
        <f t="shared" si="56"/>
        <v/>
      </c>
      <c r="AD668" s="170" t="str">
        <f t="shared" si="57"/>
        <v/>
      </c>
    </row>
    <row r="669" spans="1:30" s="170" customFormat="1" ht="20.399999999999999">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54"/>
        <v/>
      </c>
      <c r="T669" s="155" t="str">
        <f ca="1">IF(B669="","",IF(ISERROR(MATCH($J669,SorP!$B$1:$B$6226,0)),"",INDIRECT("'SorP'!$A$"&amp;MATCH($S669&amp;$J669,SorP!C:C,0))))</f>
        <v/>
      </c>
      <c r="U669" s="168"/>
      <c r="V669" s="169" t="e">
        <f>IF(C669="",NA(),MATCH($B669&amp;$C669,'Smelter Look-up'!$J:$J,0))</f>
        <v>#N/A</v>
      </c>
      <c r="X669" s="170">
        <f t="shared" ca="1" si="53"/>
        <v>0</v>
      </c>
      <c r="AB669" s="313" t="str">
        <f t="shared" si="55"/>
        <v/>
      </c>
      <c r="AC669" s="170" t="str">
        <f t="shared" si="56"/>
        <v/>
      </c>
      <c r="AD669" s="170" t="str">
        <f t="shared" si="57"/>
        <v/>
      </c>
    </row>
    <row r="670" spans="1:30" s="170" customFormat="1" ht="20.399999999999999">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54"/>
        <v/>
      </c>
      <c r="T670" s="155" t="str">
        <f ca="1">IF(B670="","",IF(ISERROR(MATCH($J670,SorP!$B$1:$B$6226,0)),"",INDIRECT("'SorP'!$A$"&amp;MATCH($S670&amp;$J670,SorP!C:C,0))))</f>
        <v/>
      </c>
      <c r="U670" s="168"/>
      <c r="V670" s="169" t="e">
        <f>IF(C670="",NA(),MATCH($B670&amp;$C670,'Smelter Look-up'!$J:$J,0))</f>
        <v>#N/A</v>
      </c>
      <c r="X670" s="170">
        <f t="shared" ca="1" si="53"/>
        <v>0</v>
      </c>
      <c r="AB670" s="313" t="str">
        <f t="shared" si="55"/>
        <v/>
      </c>
      <c r="AC670" s="170" t="str">
        <f t="shared" si="56"/>
        <v/>
      </c>
      <c r="AD670" s="170" t="str">
        <f t="shared" si="57"/>
        <v/>
      </c>
    </row>
    <row r="671" spans="1:30" s="170" customFormat="1" ht="20.399999999999999">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54"/>
        <v/>
      </c>
      <c r="T671" s="155" t="str">
        <f ca="1">IF(B671="","",IF(ISERROR(MATCH($J671,SorP!$B$1:$B$6226,0)),"",INDIRECT("'SorP'!$A$"&amp;MATCH($S671&amp;$J671,SorP!C:C,0))))</f>
        <v/>
      </c>
      <c r="U671" s="168"/>
      <c r="V671" s="169" t="e">
        <f>IF(C671="",NA(),MATCH($B671&amp;$C671,'Smelter Look-up'!$J:$J,0))</f>
        <v>#N/A</v>
      </c>
      <c r="X671" s="170">
        <f t="shared" ca="1" si="53"/>
        <v>0</v>
      </c>
      <c r="AB671" s="313" t="str">
        <f t="shared" si="55"/>
        <v/>
      </c>
      <c r="AC671" s="170" t="str">
        <f t="shared" si="56"/>
        <v/>
      </c>
      <c r="AD671" s="170" t="str">
        <f t="shared" si="57"/>
        <v/>
      </c>
    </row>
    <row r="672" spans="1:30" s="170" customFormat="1" ht="20.399999999999999">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54"/>
        <v/>
      </c>
      <c r="T672" s="155" t="str">
        <f ca="1">IF(B672="","",IF(ISERROR(MATCH($J672,SorP!$B$1:$B$6226,0)),"",INDIRECT("'SorP'!$A$"&amp;MATCH($S672&amp;$J672,SorP!C:C,0))))</f>
        <v/>
      </c>
      <c r="U672" s="168"/>
      <c r="V672" s="169" t="e">
        <f>IF(C672="",NA(),MATCH($B672&amp;$C672,'Smelter Look-up'!$J:$J,0))</f>
        <v>#N/A</v>
      </c>
      <c r="X672" s="170">
        <f t="shared" ca="1" si="53"/>
        <v>0</v>
      </c>
      <c r="AB672" s="313" t="str">
        <f t="shared" si="55"/>
        <v/>
      </c>
      <c r="AC672" s="170" t="str">
        <f t="shared" si="56"/>
        <v/>
      </c>
      <c r="AD672" s="170" t="str">
        <f t="shared" si="57"/>
        <v/>
      </c>
    </row>
    <row r="673" spans="1:30" s="170" customFormat="1" ht="20.399999999999999">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54"/>
        <v/>
      </c>
      <c r="T673" s="155" t="str">
        <f ca="1">IF(B673="","",IF(ISERROR(MATCH($J673,SorP!$B$1:$B$6226,0)),"",INDIRECT("'SorP'!$A$"&amp;MATCH($S673&amp;$J673,SorP!C:C,0))))</f>
        <v/>
      </c>
      <c r="U673" s="168"/>
      <c r="V673" s="169" t="e">
        <f>IF(C673="",NA(),MATCH($B673&amp;$C673,'Smelter Look-up'!$J:$J,0))</f>
        <v>#N/A</v>
      </c>
      <c r="X673" s="170">
        <f t="shared" ca="1" si="53"/>
        <v>0</v>
      </c>
      <c r="AB673" s="313" t="str">
        <f t="shared" si="55"/>
        <v/>
      </c>
      <c r="AC673" s="170" t="str">
        <f t="shared" si="56"/>
        <v/>
      </c>
      <c r="AD673" s="170" t="str">
        <f t="shared" si="57"/>
        <v/>
      </c>
    </row>
    <row r="674" spans="1:30" s="170" customFormat="1" ht="20.399999999999999">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54"/>
        <v/>
      </c>
      <c r="T674" s="155" t="str">
        <f ca="1">IF(B674="","",IF(ISERROR(MATCH($J674,SorP!$B$1:$B$6226,0)),"",INDIRECT("'SorP'!$A$"&amp;MATCH($S674&amp;$J674,SorP!C:C,0))))</f>
        <v/>
      </c>
      <c r="U674" s="168"/>
      <c r="V674" s="169" t="e">
        <f>IF(C674="",NA(),MATCH($B674&amp;$C674,'Smelter Look-up'!$J:$J,0))</f>
        <v>#N/A</v>
      </c>
      <c r="X674" s="170">
        <f t="shared" ca="1" si="53"/>
        <v>0</v>
      </c>
      <c r="AB674" s="313" t="str">
        <f t="shared" si="55"/>
        <v/>
      </c>
      <c r="AC674" s="170" t="str">
        <f t="shared" si="56"/>
        <v/>
      </c>
      <c r="AD674" s="170" t="str">
        <f t="shared" si="57"/>
        <v/>
      </c>
    </row>
    <row r="675" spans="1:30" s="170" customFormat="1" ht="20.399999999999999">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54"/>
        <v/>
      </c>
      <c r="T675" s="155" t="str">
        <f ca="1">IF(B675="","",IF(ISERROR(MATCH($J675,SorP!$B$1:$B$6226,0)),"",INDIRECT("'SorP'!$A$"&amp;MATCH($S675&amp;$J675,SorP!C:C,0))))</f>
        <v/>
      </c>
      <c r="U675" s="168"/>
      <c r="V675" s="169" t="e">
        <f>IF(C675="",NA(),MATCH($B675&amp;$C675,'Smelter Look-up'!$J:$J,0))</f>
        <v>#N/A</v>
      </c>
      <c r="X675" s="170">
        <f t="shared" ca="1" si="53"/>
        <v>0</v>
      </c>
      <c r="AB675" s="313" t="str">
        <f t="shared" si="55"/>
        <v/>
      </c>
      <c r="AC675" s="170" t="str">
        <f t="shared" si="56"/>
        <v/>
      </c>
      <c r="AD675" s="170" t="str">
        <f t="shared" si="57"/>
        <v/>
      </c>
    </row>
    <row r="676" spans="1:30" s="170" customFormat="1" ht="20.399999999999999">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54"/>
        <v/>
      </c>
      <c r="T676" s="155" t="str">
        <f ca="1">IF(B676="","",IF(ISERROR(MATCH($J676,SorP!$B$1:$B$6226,0)),"",INDIRECT("'SorP'!$A$"&amp;MATCH($S676&amp;$J676,SorP!C:C,0))))</f>
        <v/>
      </c>
      <c r="U676" s="168"/>
      <c r="V676" s="169" t="e">
        <f>IF(C676="",NA(),MATCH($B676&amp;$C676,'Smelter Look-up'!$J:$J,0))</f>
        <v>#N/A</v>
      </c>
      <c r="X676" s="170">
        <f t="shared" ca="1" si="53"/>
        <v>0</v>
      </c>
      <c r="AB676" s="313" t="str">
        <f t="shared" si="55"/>
        <v/>
      </c>
      <c r="AC676" s="170" t="str">
        <f t="shared" si="56"/>
        <v/>
      </c>
      <c r="AD676" s="170" t="str">
        <f t="shared" si="57"/>
        <v/>
      </c>
    </row>
    <row r="677" spans="1:30" s="170" customFormat="1" ht="20.399999999999999">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54"/>
        <v/>
      </c>
      <c r="T677" s="155" t="str">
        <f ca="1">IF(B677="","",IF(ISERROR(MATCH($J677,SorP!$B$1:$B$6226,0)),"",INDIRECT("'SorP'!$A$"&amp;MATCH($S677&amp;$J677,SorP!C:C,0))))</f>
        <v/>
      </c>
      <c r="U677" s="168"/>
      <c r="V677" s="169" t="e">
        <f>IF(C677="",NA(),MATCH($B677&amp;$C677,'Smelter Look-up'!$J:$J,0))</f>
        <v>#N/A</v>
      </c>
      <c r="X677" s="170">
        <f t="shared" ca="1" si="53"/>
        <v>0</v>
      </c>
      <c r="AB677" s="313" t="str">
        <f t="shared" si="55"/>
        <v/>
      </c>
      <c r="AC677" s="170" t="str">
        <f t="shared" si="56"/>
        <v/>
      </c>
      <c r="AD677" s="170" t="str">
        <f t="shared" si="57"/>
        <v/>
      </c>
    </row>
    <row r="678" spans="1:30" s="170" customFormat="1" ht="20.399999999999999">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54"/>
        <v/>
      </c>
      <c r="T678" s="155" t="str">
        <f ca="1">IF(B678="","",IF(ISERROR(MATCH($J678,SorP!$B$1:$B$6226,0)),"",INDIRECT("'SorP'!$A$"&amp;MATCH($S678&amp;$J678,SorP!C:C,0))))</f>
        <v/>
      </c>
      <c r="U678" s="168"/>
      <c r="V678" s="169" t="e">
        <f>IF(C678="",NA(),MATCH($B678&amp;$C678,'Smelter Look-up'!$J:$J,0))</f>
        <v>#N/A</v>
      </c>
      <c r="X678" s="170">
        <f t="shared" ca="1" si="53"/>
        <v>0</v>
      </c>
      <c r="AB678" s="313" t="str">
        <f t="shared" si="55"/>
        <v/>
      </c>
      <c r="AC678" s="170" t="str">
        <f t="shared" si="56"/>
        <v/>
      </c>
      <c r="AD678" s="170" t="str">
        <f t="shared" si="57"/>
        <v/>
      </c>
    </row>
    <row r="679" spans="1:30" s="170" customFormat="1" ht="20.399999999999999">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54"/>
        <v/>
      </c>
      <c r="T679" s="155" t="str">
        <f ca="1">IF(B679="","",IF(ISERROR(MATCH($J679,SorP!$B$1:$B$6226,0)),"",INDIRECT("'SorP'!$A$"&amp;MATCH($S679&amp;$J679,SorP!C:C,0))))</f>
        <v/>
      </c>
      <c r="U679" s="168"/>
      <c r="V679" s="169" t="e">
        <f>IF(C679="",NA(),MATCH($B679&amp;$C679,'Smelter Look-up'!$J:$J,0))</f>
        <v>#N/A</v>
      </c>
      <c r="X679" s="170">
        <f t="shared" ca="1" si="53"/>
        <v>0</v>
      </c>
      <c r="AB679" s="313" t="str">
        <f t="shared" si="55"/>
        <v/>
      </c>
      <c r="AC679" s="170" t="str">
        <f t="shared" si="56"/>
        <v/>
      </c>
      <c r="AD679" s="170" t="str">
        <f t="shared" si="57"/>
        <v/>
      </c>
    </row>
    <row r="680" spans="1:30" s="170" customFormat="1" ht="20.399999999999999">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54"/>
        <v/>
      </c>
      <c r="T680" s="155" t="str">
        <f ca="1">IF(B680="","",IF(ISERROR(MATCH($J680,SorP!$B$1:$B$6226,0)),"",INDIRECT("'SorP'!$A$"&amp;MATCH($S680&amp;$J680,SorP!C:C,0))))</f>
        <v/>
      </c>
      <c r="U680" s="168"/>
      <c r="V680" s="169" t="e">
        <f>IF(C680="",NA(),MATCH($B680&amp;$C680,'Smelter Look-up'!$J:$J,0))</f>
        <v>#N/A</v>
      </c>
      <c r="X680" s="170">
        <f t="shared" ca="1" si="53"/>
        <v>0</v>
      </c>
      <c r="AB680" s="313" t="str">
        <f t="shared" si="55"/>
        <v/>
      </c>
      <c r="AC680" s="170" t="str">
        <f t="shared" si="56"/>
        <v/>
      </c>
      <c r="AD680" s="170" t="str">
        <f t="shared" si="57"/>
        <v/>
      </c>
    </row>
    <row r="681" spans="1:30" s="170" customFormat="1" ht="20.399999999999999">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54"/>
        <v/>
      </c>
      <c r="T681" s="155" t="str">
        <f ca="1">IF(B681="","",IF(ISERROR(MATCH($J681,SorP!$B$1:$B$6226,0)),"",INDIRECT("'SorP'!$A$"&amp;MATCH($S681&amp;$J681,SorP!C:C,0))))</f>
        <v/>
      </c>
      <c r="U681" s="168"/>
      <c r="V681" s="169" t="e">
        <f>IF(C681="",NA(),MATCH($B681&amp;$C681,'Smelter Look-up'!$J:$J,0))</f>
        <v>#N/A</v>
      </c>
      <c r="X681" s="170">
        <f t="shared" ca="1" si="53"/>
        <v>0</v>
      </c>
      <c r="AB681" s="313" t="str">
        <f t="shared" si="55"/>
        <v/>
      </c>
      <c r="AC681" s="170" t="str">
        <f t="shared" si="56"/>
        <v/>
      </c>
      <c r="AD681" s="170" t="str">
        <f t="shared" si="57"/>
        <v/>
      </c>
    </row>
    <row r="682" spans="1:30" s="170" customFormat="1" ht="20.399999999999999">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54"/>
        <v/>
      </c>
      <c r="T682" s="155" t="str">
        <f ca="1">IF(B682="","",IF(ISERROR(MATCH($J682,SorP!$B$1:$B$6226,0)),"",INDIRECT("'SorP'!$A$"&amp;MATCH($S682&amp;$J682,SorP!C:C,0))))</f>
        <v/>
      </c>
      <c r="U682" s="168"/>
      <c r="V682" s="169" t="e">
        <f>IF(C682="",NA(),MATCH($B682&amp;$C682,'Smelter Look-up'!$J:$J,0))</f>
        <v>#N/A</v>
      </c>
      <c r="X682" s="170">
        <f t="shared" ca="1" si="53"/>
        <v>0</v>
      </c>
      <c r="AB682" s="313" t="str">
        <f t="shared" si="55"/>
        <v/>
      </c>
      <c r="AC682" s="170" t="str">
        <f t="shared" si="56"/>
        <v/>
      </c>
      <c r="AD682" s="170" t="str">
        <f t="shared" si="57"/>
        <v/>
      </c>
    </row>
    <row r="683" spans="1:30" s="170" customFormat="1" ht="20.399999999999999">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54"/>
        <v/>
      </c>
      <c r="T683" s="155" t="str">
        <f ca="1">IF(B683="","",IF(ISERROR(MATCH($J683,SorP!$B$1:$B$6226,0)),"",INDIRECT("'SorP'!$A$"&amp;MATCH($S683&amp;$J683,SorP!C:C,0))))</f>
        <v/>
      </c>
      <c r="U683" s="168"/>
      <c r="V683" s="169" t="e">
        <f>IF(C683="",NA(),MATCH($B683&amp;$C683,'Smelter Look-up'!$J:$J,0))</f>
        <v>#N/A</v>
      </c>
      <c r="X683" s="170">
        <f t="shared" ca="1" si="53"/>
        <v>0</v>
      </c>
      <c r="AB683" s="313" t="str">
        <f t="shared" si="55"/>
        <v/>
      </c>
      <c r="AC683" s="170" t="str">
        <f t="shared" si="56"/>
        <v/>
      </c>
      <c r="AD683" s="170" t="str">
        <f t="shared" si="57"/>
        <v/>
      </c>
    </row>
    <row r="684" spans="1:30" s="170" customFormat="1" ht="20.399999999999999">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54"/>
        <v/>
      </c>
      <c r="T684" s="155" t="str">
        <f ca="1">IF(B684="","",IF(ISERROR(MATCH($J684,SorP!$B$1:$B$6226,0)),"",INDIRECT("'SorP'!$A$"&amp;MATCH($S684&amp;$J684,SorP!C:C,0))))</f>
        <v/>
      </c>
      <c r="U684" s="168"/>
      <c r="V684" s="169" t="e">
        <f>IF(C684="",NA(),MATCH($B684&amp;$C684,'Smelter Look-up'!$J:$J,0))</f>
        <v>#N/A</v>
      </c>
      <c r="X684" s="170">
        <f t="shared" ca="1" si="53"/>
        <v>0</v>
      </c>
      <c r="AB684" s="313" t="str">
        <f t="shared" si="55"/>
        <v/>
      </c>
      <c r="AC684" s="170" t="str">
        <f t="shared" si="56"/>
        <v/>
      </c>
      <c r="AD684" s="170" t="str">
        <f t="shared" si="57"/>
        <v/>
      </c>
    </row>
    <row r="685" spans="1:30" s="170" customFormat="1" ht="20.399999999999999">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54"/>
        <v/>
      </c>
      <c r="T685" s="155" t="str">
        <f ca="1">IF(B685="","",IF(ISERROR(MATCH($J685,SorP!$B$1:$B$6226,0)),"",INDIRECT("'SorP'!$A$"&amp;MATCH($S685&amp;$J685,SorP!C:C,0))))</f>
        <v/>
      </c>
      <c r="U685" s="168"/>
      <c r="V685" s="169" t="e">
        <f>IF(C685="",NA(),MATCH($B685&amp;$C685,'Smelter Look-up'!$J:$J,0))</f>
        <v>#N/A</v>
      </c>
      <c r="X685" s="170">
        <f t="shared" ca="1" si="53"/>
        <v>0</v>
      </c>
      <c r="AB685" s="313" t="str">
        <f t="shared" si="55"/>
        <v/>
      </c>
      <c r="AC685" s="170" t="str">
        <f t="shared" si="56"/>
        <v/>
      </c>
      <c r="AD685" s="170" t="str">
        <f t="shared" si="57"/>
        <v/>
      </c>
    </row>
    <row r="686" spans="1:30" s="170" customFormat="1" ht="20.399999999999999">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54"/>
        <v/>
      </c>
      <c r="T686" s="155" t="str">
        <f ca="1">IF(B686="","",IF(ISERROR(MATCH($J686,SorP!$B$1:$B$6226,0)),"",INDIRECT("'SorP'!$A$"&amp;MATCH($S686&amp;$J686,SorP!C:C,0))))</f>
        <v/>
      </c>
      <c r="U686" s="168"/>
      <c r="V686" s="169" t="e">
        <f>IF(C686="",NA(),MATCH($B686&amp;$C686,'Smelter Look-up'!$J:$J,0))</f>
        <v>#N/A</v>
      </c>
      <c r="X686" s="170">
        <f t="shared" ca="1" si="53"/>
        <v>0</v>
      </c>
      <c r="AB686" s="313" t="str">
        <f t="shared" si="55"/>
        <v/>
      </c>
      <c r="AC686" s="170" t="str">
        <f t="shared" si="56"/>
        <v/>
      </c>
      <c r="AD686" s="170" t="str">
        <f t="shared" si="57"/>
        <v/>
      </c>
    </row>
    <row r="687" spans="1:30" s="170" customFormat="1" ht="20.399999999999999">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54"/>
        <v/>
      </c>
      <c r="T687" s="155" t="str">
        <f ca="1">IF(B687="","",IF(ISERROR(MATCH($J687,SorP!$B$1:$B$6226,0)),"",INDIRECT("'SorP'!$A$"&amp;MATCH($S687&amp;$J687,SorP!C:C,0))))</f>
        <v/>
      </c>
      <c r="U687" s="168"/>
      <c r="V687" s="169" t="e">
        <f>IF(C687="",NA(),MATCH($B687&amp;$C687,'Smelter Look-up'!$J:$J,0))</f>
        <v>#N/A</v>
      </c>
      <c r="X687" s="170">
        <f t="shared" ca="1" si="53"/>
        <v>0</v>
      </c>
      <c r="AB687" s="313" t="str">
        <f t="shared" si="55"/>
        <v/>
      </c>
      <c r="AC687" s="170" t="str">
        <f t="shared" si="56"/>
        <v/>
      </c>
      <c r="AD687" s="170" t="str">
        <f t="shared" si="57"/>
        <v/>
      </c>
    </row>
    <row r="688" spans="1:30" s="170" customFormat="1" ht="20.399999999999999">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54"/>
        <v/>
      </c>
      <c r="T688" s="155" t="str">
        <f ca="1">IF(B688="","",IF(ISERROR(MATCH($J688,SorP!$B$1:$B$6226,0)),"",INDIRECT("'SorP'!$A$"&amp;MATCH($S688&amp;$J688,SorP!C:C,0))))</f>
        <v/>
      </c>
      <c r="U688" s="168"/>
      <c r="V688" s="169" t="e">
        <f>IF(C688="",NA(),MATCH($B688&amp;$C688,'Smelter Look-up'!$J:$J,0))</f>
        <v>#N/A</v>
      </c>
      <c r="X688" s="170">
        <f t="shared" ca="1" si="53"/>
        <v>0</v>
      </c>
      <c r="AB688" s="313" t="str">
        <f t="shared" si="55"/>
        <v/>
      </c>
      <c r="AC688" s="170" t="str">
        <f t="shared" si="56"/>
        <v/>
      </c>
      <c r="AD688" s="170" t="str">
        <f t="shared" si="57"/>
        <v/>
      </c>
    </row>
    <row r="689" spans="1:30" s="170" customFormat="1" ht="20.399999999999999">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54"/>
        <v/>
      </c>
      <c r="T689" s="155" t="str">
        <f ca="1">IF(B689="","",IF(ISERROR(MATCH($J689,SorP!$B$1:$B$6226,0)),"",INDIRECT("'SorP'!$A$"&amp;MATCH($S689&amp;$J689,SorP!C:C,0))))</f>
        <v/>
      </c>
      <c r="U689" s="168"/>
      <c r="V689" s="169" t="e">
        <f>IF(C689="",NA(),MATCH($B689&amp;$C689,'Smelter Look-up'!$J:$J,0))</f>
        <v>#N/A</v>
      </c>
      <c r="X689" s="170">
        <f t="shared" ca="1" si="53"/>
        <v>0</v>
      </c>
      <c r="AB689" s="313" t="str">
        <f t="shared" si="55"/>
        <v/>
      </c>
      <c r="AC689" s="170" t="str">
        <f t="shared" si="56"/>
        <v/>
      </c>
      <c r="AD689" s="170" t="str">
        <f t="shared" si="57"/>
        <v/>
      </c>
    </row>
    <row r="690" spans="1:30" s="170" customFormat="1" ht="20.399999999999999">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54"/>
        <v/>
      </c>
      <c r="T690" s="155" t="str">
        <f ca="1">IF(B690="","",IF(ISERROR(MATCH($J690,SorP!$B$1:$B$6226,0)),"",INDIRECT("'SorP'!$A$"&amp;MATCH($S690&amp;$J690,SorP!C:C,0))))</f>
        <v/>
      </c>
      <c r="U690" s="168"/>
      <c r="V690" s="169" t="e">
        <f>IF(C690="",NA(),MATCH($B690&amp;$C690,'Smelter Look-up'!$J:$J,0))</f>
        <v>#N/A</v>
      </c>
      <c r="X690" s="170">
        <f t="shared" ca="1" si="53"/>
        <v>0</v>
      </c>
      <c r="AB690" s="313" t="str">
        <f t="shared" si="55"/>
        <v/>
      </c>
      <c r="AC690" s="170" t="str">
        <f t="shared" si="56"/>
        <v/>
      </c>
      <c r="AD690" s="170" t="str">
        <f t="shared" si="57"/>
        <v/>
      </c>
    </row>
    <row r="691" spans="1:30" s="170" customFormat="1" ht="20.399999999999999">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54"/>
        <v/>
      </c>
      <c r="T691" s="155" t="str">
        <f ca="1">IF(B691="","",IF(ISERROR(MATCH($J691,SorP!$B$1:$B$6226,0)),"",INDIRECT("'SorP'!$A$"&amp;MATCH($S691&amp;$J691,SorP!C:C,0))))</f>
        <v/>
      </c>
      <c r="U691" s="168"/>
      <c r="V691" s="169" t="e">
        <f>IF(C691="",NA(),MATCH($B691&amp;$C691,'Smelter Look-up'!$J:$J,0))</f>
        <v>#N/A</v>
      </c>
      <c r="X691" s="170">
        <f t="shared" ca="1" si="53"/>
        <v>0</v>
      </c>
      <c r="AB691" s="313" t="str">
        <f t="shared" si="55"/>
        <v/>
      </c>
      <c r="AC691" s="170" t="str">
        <f t="shared" si="56"/>
        <v/>
      </c>
      <c r="AD691" s="170" t="str">
        <f t="shared" si="57"/>
        <v/>
      </c>
    </row>
    <row r="692" spans="1:30" s="170" customFormat="1" ht="20.399999999999999">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54"/>
        <v/>
      </c>
      <c r="T692" s="155" t="str">
        <f ca="1">IF(B692="","",IF(ISERROR(MATCH($J692,SorP!$B$1:$B$6226,0)),"",INDIRECT("'SorP'!$A$"&amp;MATCH($S692&amp;$J692,SorP!C:C,0))))</f>
        <v/>
      </c>
      <c r="U692" s="168"/>
      <c r="V692" s="169" t="e">
        <f>IF(C692="",NA(),MATCH($B692&amp;$C692,'Smelter Look-up'!$J:$J,0))</f>
        <v>#N/A</v>
      </c>
      <c r="X692" s="170">
        <f t="shared" ca="1" si="53"/>
        <v>0</v>
      </c>
      <c r="AB692" s="313" t="str">
        <f t="shared" si="55"/>
        <v/>
      </c>
      <c r="AC692" s="170" t="str">
        <f t="shared" si="56"/>
        <v/>
      </c>
      <c r="AD692" s="170" t="str">
        <f t="shared" si="57"/>
        <v/>
      </c>
    </row>
    <row r="693" spans="1:30" s="170" customFormat="1" ht="20.399999999999999">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54"/>
        <v/>
      </c>
      <c r="T693" s="155" t="str">
        <f ca="1">IF(B693="","",IF(ISERROR(MATCH($J693,SorP!$B$1:$B$6226,0)),"",INDIRECT("'SorP'!$A$"&amp;MATCH($S693&amp;$J693,SorP!C:C,0))))</f>
        <v/>
      </c>
      <c r="U693" s="168"/>
      <c r="V693" s="169" t="e">
        <f>IF(C693="",NA(),MATCH($B693&amp;$C693,'Smelter Look-up'!$J:$J,0))</f>
        <v>#N/A</v>
      </c>
      <c r="X693" s="170">
        <f t="shared" ca="1" si="53"/>
        <v>0</v>
      </c>
      <c r="AB693" s="313" t="str">
        <f t="shared" si="55"/>
        <v/>
      </c>
      <c r="AC693" s="170" t="str">
        <f t="shared" si="56"/>
        <v/>
      </c>
      <c r="AD693" s="170" t="str">
        <f t="shared" si="57"/>
        <v/>
      </c>
    </row>
    <row r="694" spans="1:30" s="170" customFormat="1" ht="20.399999999999999">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54"/>
        <v/>
      </c>
      <c r="T694" s="155" t="str">
        <f ca="1">IF(B694="","",IF(ISERROR(MATCH($J694,SorP!$B$1:$B$6226,0)),"",INDIRECT("'SorP'!$A$"&amp;MATCH($S694&amp;$J694,SorP!C:C,0))))</f>
        <v/>
      </c>
      <c r="U694" s="168"/>
      <c r="V694" s="169" t="e">
        <f>IF(C694="",NA(),MATCH($B694&amp;$C694,'Smelter Look-up'!$J:$J,0))</f>
        <v>#N/A</v>
      </c>
      <c r="X694" s="170">
        <f t="shared" ca="1" si="53"/>
        <v>0</v>
      </c>
      <c r="AB694" s="313" t="str">
        <f t="shared" si="55"/>
        <v/>
      </c>
      <c r="AC694" s="170" t="str">
        <f t="shared" si="56"/>
        <v/>
      </c>
      <c r="AD694" s="170" t="str">
        <f t="shared" si="57"/>
        <v/>
      </c>
    </row>
    <row r="695" spans="1:30" s="170" customFormat="1" ht="20.399999999999999">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54"/>
        <v/>
      </c>
      <c r="T695" s="155" t="str">
        <f ca="1">IF(B695="","",IF(ISERROR(MATCH($J695,SorP!$B$1:$B$6226,0)),"",INDIRECT("'SorP'!$A$"&amp;MATCH($S695&amp;$J695,SorP!C:C,0))))</f>
        <v/>
      </c>
      <c r="U695" s="168"/>
      <c r="V695" s="169" t="e">
        <f>IF(C695="",NA(),MATCH($B695&amp;$C695,'Smelter Look-up'!$J:$J,0))</f>
        <v>#N/A</v>
      </c>
      <c r="X695" s="170">
        <f t="shared" ca="1" si="53"/>
        <v>0</v>
      </c>
      <c r="AB695" s="313" t="str">
        <f t="shared" si="55"/>
        <v/>
      </c>
      <c r="AC695" s="170" t="str">
        <f t="shared" si="56"/>
        <v/>
      </c>
      <c r="AD695" s="170" t="str">
        <f t="shared" si="57"/>
        <v/>
      </c>
    </row>
    <row r="696" spans="1:30" s="170" customFormat="1" ht="20.399999999999999">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54"/>
        <v/>
      </c>
      <c r="T696" s="155" t="str">
        <f ca="1">IF(B696="","",IF(ISERROR(MATCH($J696,SorP!$B$1:$B$6226,0)),"",INDIRECT("'SorP'!$A$"&amp;MATCH($S696&amp;$J696,SorP!C:C,0))))</f>
        <v/>
      </c>
      <c r="U696" s="168"/>
      <c r="V696" s="169" t="e">
        <f>IF(C696="",NA(),MATCH($B696&amp;$C696,'Smelter Look-up'!$J:$J,0))</f>
        <v>#N/A</v>
      </c>
      <c r="X696" s="170">
        <f t="shared" ca="1" si="53"/>
        <v>0</v>
      </c>
      <c r="AB696" s="313" t="str">
        <f t="shared" si="55"/>
        <v/>
      </c>
      <c r="AC696" s="170" t="str">
        <f t="shared" si="56"/>
        <v/>
      </c>
      <c r="AD696" s="170" t="str">
        <f t="shared" si="57"/>
        <v/>
      </c>
    </row>
    <row r="697" spans="1:30" s="170" customFormat="1" ht="20.399999999999999">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54"/>
        <v/>
      </c>
      <c r="T697" s="155" t="str">
        <f ca="1">IF(B697="","",IF(ISERROR(MATCH($J697,SorP!$B$1:$B$6226,0)),"",INDIRECT("'SorP'!$A$"&amp;MATCH($S697&amp;$J697,SorP!C:C,0))))</f>
        <v/>
      </c>
      <c r="U697" s="168"/>
      <c r="V697" s="169" t="e">
        <f>IF(C697="",NA(),MATCH($B697&amp;$C697,'Smelter Look-up'!$J:$J,0))</f>
        <v>#N/A</v>
      </c>
      <c r="X697" s="170">
        <f t="shared" ca="1" si="53"/>
        <v>0</v>
      </c>
      <c r="AB697" s="313" t="str">
        <f t="shared" si="55"/>
        <v/>
      </c>
      <c r="AC697" s="170" t="str">
        <f t="shared" si="56"/>
        <v/>
      </c>
      <c r="AD697" s="170" t="str">
        <f t="shared" si="57"/>
        <v/>
      </c>
    </row>
    <row r="698" spans="1:30" s="170" customFormat="1" ht="20.399999999999999">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54"/>
        <v/>
      </c>
      <c r="T698" s="155" t="str">
        <f ca="1">IF(B698="","",IF(ISERROR(MATCH($J698,SorP!$B$1:$B$6226,0)),"",INDIRECT("'SorP'!$A$"&amp;MATCH($S698&amp;$J698,SorP!C:C,0))))</f>
        <v/>
      </c>
      <c r="U698" s="168"/>
      <c r="V698" s="169" t="e">
        <f>IF(C698="",NA(),MATCH($B698&amp;$C698,'Smelter Look-up'!$J:$J,0))</f>
        <v>#N/A</v>
      </c>
      <c r="X698" s="170">
        <f t="shared" ca="1" si="53"/>
        <v>0</v>
      </c>
      <c r="AB698" s="313" t="str">
        <f t="shared" si="55"/>
        <v/>
      </c>
      <c r="AC698" s="170" t="str">
        <f t="shared" si="56"/>
        <v/>
      </c>
      <c r="AD698" s="170" t="str">
        <f t="shared" si="57"/>
        <v/>
      </c>
    </row>
    <row r="699" spans="1:30" s="170" customFormat="1" ht="20.399999999999999">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54"/>
        <v/>
      </c>
      <c r="T699" s="155" t="str">
        <f ca="1">IF(B699="","",IF(ISERROR(MATCH($J699,SorP!$B$1:$B$6226,0)),"",INDIRECT("'SorP'!$A$"&amp;MATCH($S699&amp;$J699,SorP!C:C,0))))</f>
        <v/>
      </c>
      <c r="U699" s="168"/>
      <c r="V699" s="169" t="e">
        <f>IF(C699="",NA(),MATCH($B699&amp;$C699,'Smelter Look-up'!$J:$J,0))</f>
        <v>#N/A</v>
      </c>
      <c r="X699" s="170">
        <f t="shared" ca="1" si="53"/>
        <v>0</v>
      </c>
      <c r="AB699" s="313" t="str">
        <f t="shared" si="55"/>
        <v/>
      </c>
      <c r="AC699" s="170" t="str">
        <f t="shared" si="56"/>
        <v/>
      </c>
      <c r="AD699" s="170" t="str">
        <f t="shared" si="57"/>
        <v/>
      </c>
    </row>
    <row r="700" spans="1:30" s="170" customFormat="1" ht="20.399999999999999">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54"/>
        <v/>
      </c>
      <c r="T700" s="155" t="str">
        <f ca="1">IF(B700="","",IF(ISERROR(MATCH($J700,SorP!$B$1:$B$6226,0)),"",INDIRECT("'SorP'!$A$"&amp;MATCH($S700&amp;$J700,SorP!C:C,0))))</f>
        <v/>
      </c>
      <c r="U700" s="168"/>
      <c r="V700" s="169" t="e">
        <f>IF(C700="",NA(),MATCH($B700&amp;$C700,'Smelter Look-up'!$J:$J,0))</f>
        <v>#N/A</v>
      </c>
      <c r="X700" s="170">
        <f t="shared" ca="1" si="53"/>
        <v>0</v>
      </c>
      <c r="AB700" s="313" t="str">
        <f t="shared" si="55"/>
        <v/>
      </c>
      <c r="AC700" s="170" t="str">
        <f t="shared" si="56"/>
        <v/>
      </c>
      <c r="AD700" s="170" t="str">
        <f t="shared" si="57"/>
        <v/>
      </c>
    </row>
    <row r="701" spans="1:30" s="170" customFormat="1" ht="20.399999999999999">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54"/>
        <v/>
      </c>
      <c r="T701" s="155" t="str">
        <f ca="1">IF(B701="","",IF(ISERROR(MATCH($J701,SorP!$B$1:$B$6226,0)),"",INDIRECT("'SorP'!$A$"&amp;MATCH($S701&amp;$J701,SorP!C:C,0))))</f>
        <v/>
      </c>
      <c r="U701" s="168"/>
      <c r="V701" s="169" t="e">
        <f>IF(C701="",NA(),MATCH($B701&amp;$C701,'Smelter Look-up'!$J:$J,0))</f>
        <v>#N/A</v>
      </c>
      <c r="X701" s="170">
        <f t="shared" ca="1" si="53"/>
        <v>0</v>
      </c>
      <c r="AB701" s="313" t="str">
        <f t="shared" si="55"/>
        <v/>
      </c>
      <c r="AC701" s="170" t="str">
        <f t="shared" si="56"/>
        <v/>
      </c>
      <c r="AD701" s="170" t="str">
        <f t="shared" si="57"/>
        <v/>
      </c>
    </row>
    <row r="702" spans="1:30" s="170" customFormat="1" ht="20.399999999999999">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54"/>
        <v/>
      </c>
      <c r="T702" s="155" t="str">
        <f ca="1">IF(B702="","",IF(ISERROR(MATCH($J702,SorP!$B$1:$B$6226,0)),"",INDIRECT("'SorP'!$A$"&amp;MATCH($S702&amp;$J702,SorP!C:C,0))))</f>
        <v/>
      </c>
      <c r="U702" s="168"/>
      <c r="V702" s="169" t="e">
        <f>IF(C702="",NA(),MATCH($B702&amp;$C702,'Smelter Look-up'!$J:$J,0))</f>
        <v>#N/A</v>
      </c>
      <c r="X702" s="170">
        <f t="shared" ca="1" si="53"/>
        <v>0</v>
      </c>
      <c r="AB702" s="313" t="str">
        <f t="shared" si="55"/>
        <v/>
      </c>
      <c r="AC702" s="170" t="str">
        <f t="shared" si="56"/>
        <v/>
      </c>
      <c r="AD702" s="170" t="str">
        <f t="shared" si="57"/>
        <v/>
      </c>
    </row>
    <row r="703" spans="1:30" s="170" customFormat="1" ht="20.399999999999999">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54"/>
        <v/>
      </c>
      <c r="T703" s="155" t="str">
        <f ca="1">IF(B703="","",IF(ISERROR(MATCH($J703,SorP!$B$1:$B$6226,0)),"",INDIRECT("'SorP'!$A$"&amp;MATCH($S703&amp;$J703,SorP!C:C,0))))</f>
        <v/>
      </c>
      <c r="U703" s="168"/>
      <c r="V703" s="169" t="e">
        <f>IF(C703="",NA(),MATCH($B703&amp;$C703,'Smelter Look-up'!$J:$J,0))</f>
        <v>#N/A</v>
      </c>
      <c r="X703" s="170">
        <f t="shared" ref="X703:X766" ca="1" si="58">IF(AND(C703="Smelter not listed",OR(LEN(D703)=0,LEN(E703)=0)),1,0)</f>
        <v>0</v>
      </c>
      <c r="AB703" s="313" t="str">
        <f t="shared" si="55"/>
        <v/>
      </c>
      <c r="AC703" s="170" t="str">
        <f t="shared" si="56"/>
        <v/>
      </c>
      <c r="AD703" s="170" t="str">
        <f t="shared" si="57"/>
        <v/>
      </c>
    </row>
    <row r="704" spans="1:30" s="170" customFormat="1" ht="20.399999999999999">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ref="S704:S767" ca="1" si="59">IF(B704="","",IF(ISERROR(MATCH($E704,CL,0)),"Unknown",INDIRECT("'C'!$A$"&amp;MATCH($E704,CL,0)+1)))</f>
        <v/>
      </c>
      <c r="T704" s="155" t="str">
        <f ca="1">IF(B704="","",IF(ISERROR(MATCH($J704,SorP!$B$1:$B$6226,0)),"",INDIRECT("'SorP'!$A$"&amp;MATCH($S704&amp;$J704,SorP!C:C,0))))</f>
        <v/>
      </c>
      <c r="U704" s="168"/>
      <c r="V704" s="169" t="e">
        <f>IF(C704="",NA(),MATCH($B704&amp;$C704,'Smelter Look-up'!$J:$J,0))</f>
        <v>#N/A</v>
      </c>
      <c r="X704" s="170">
        <f t="shared" ca="1" si="58"/>
        <v>0</v>
      </c>
      <c r="AB704" s="313" t="str">
        <f t="shared" si="55"/>
        <v/>
      </c>
      <c r="AC704" s="170" t="str">
        <f t="shared" si="56"/>
        <v/>
      </c>
      <c r="AD704" s="170" t="str">
        <f t="shared" si="57"/>
        <v/>
      </c>
    </row>
    <row r="705" spans="1:30" s="170" customFormat="1" ht="20.399999999999999">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59"/>
        <v/>
      </c>
      <c r="T705" s="155" t="str">
        <f ca="1">IF(B705="","",IF(ISERROR(MATCH($J705,SorP!$B$1:$B$6226,0)),"",INDIRECT("'SorP'!$A$"&amp;MATCH($S705&amp;$J705,SorP!C:C,0))))</f>
        <v/>
      </c>
      <c r="U705" s="168"/>
      <c r="V705" s="169" t="e">
        <f>IF(C705="",NA(),MATCH($B705&amp;$C705,'Smelter Look-up'!$J:$J,0))</f>
        <v>#N/A</v>
      </c>
      <c r="X705" s="170">
        <f t="shared" ca="1" si="58"/>
        <v>0</v>
      </c>
      <c r="AB705" s="313" t="str">
        <f t="shared" si="55"/>
        <v/>
      </c>
      <c r="AC705" s="170" t="str">
        <f t="shared" si="56"/>
        <v/>
      </c>
      <c r="AD705" s="170" t="str">
        <f t="shared" si="57"/>
        <v/>
      </c>
    </row>
    <row r="706" spans="1:30" s="170" customFormat="1" ht="20.399999999999999">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59"/>
        <v/>
      </c>
      <c r="T706" s="155" t="str">
        <f ca="1">IF(B706="","",IF(ISERROR(MATCH($J706,SorP!$B$1:$B$6226,0)),"",INDIRECT("'SorP'!$A$"&amp;MATCH($S706&amp;$J706,SorP!C:C,0))))</f>
        <v/>
      </c>
      <c r="U706" s="168"/>
      <c r="V706" s="169" t="e">
        <f>IF(C706="",NA(),MATCH($B706&amp;$C706,'Smelter Look-up'!$J:$J,0))</f>
        <v>#N/A</v>
      </c>
      <c r="X706" s="170">
        <f t="shared" ca="1" si="58"/>
        <v>0</v>
      </c>
      <c r="AB706" s="313" t="str">
        <f t="shared" si="55"/>
        <v/>
      </c>
      <c r="AC706" s="170" t="str">
        <f t="shared" si="56"/>
        <v/>
      </c>
      <c r="AD706" s="170" t="str">
        <f t="shared" si="57"/>
        <v/>
      </c>
    </row>
    <row r="707" spans="1:30" s="170" customFormat="1" ht="20.399999999999999">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59"/>
        <v/>
      </c>
      <c r="T707" s="155" t="str">
        <f ca="1">IF(B707="","",IF(ISERROR(MATCH($J707,SorP!$B$1:$B$6226,0)),"",INDIRECT("'SorP'!$A$"&amp;MATCH($S707&amp;$J707,SorP!C:C,0))))</f>
        <v/>
      </c>
      <c r="U707" s="168"/>
      <c r="V707" s="169" t="e">
        <f>IF(C707="",NA(),MATCH($B707&amp;$C707,'Smelter Look-up'!$J:$J,0))</f>
        <v>#N/A</v>
      </c>
      <c r="X707" s="170">
        <f t="shared" ca="1" si="58"/>
        <v>0</v>
      </c>
      <c r="AB707" s="313" t="str">
        <f t="shared" si="55"/>
        <v/>
      </c>
      <c r="AC707" s="170" t="str">
        <f t="shared" si="56"/>
        <v/>
      </c>
      <c r="AD707" s="170" t="str">
        <f t="shared" si="57"/>
        <v/>
      </c>
    </row>
    <row r="708" spans="1:30" s="170" customFormat="1" ht="20.399999999999999">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59"/>
        <v/>
      </c>
      <c r="T708" s="155" t="str">
        <f ca="1">IF(B708="","",IF(ISERROR(MATCH($J708,SorP!$B$1:$B$6226,0)),"",INDIRECT("'SorP'!$A$"&amp;MATCH($S708&amp;$J708,SorP!C:C,0))))</f>
        <v/>
      </c>
      <c r="U708" s="168"/>
      <c r="V708" s="169" t="e">
        <f>IF(C708="",NA(),MATCH($B708&amp;$C708,'Smelter Look-up'!$J:$J,0))</f>
        <v>#N/A</v>
      </c>
      <c r="X708" s="170">
        <f t="shared" ca="1" si="58"/>
        <v>0</v>
      </c>
      <c r="AB708" s="313" t="str">
        <f t="shared" si="55"/>
        <v/>
      </c>
      <c r="AC708" s="170" t="str">
        <f t="shared" si="56"/>
        <v/>
      </c>
      <c r="AD708" s="170" t="str">
        <f t="shared" si="57"/>
        <v/>
      </c>
    </row>
    <row r="709" spans="1:30" s="170" customFormat="1" ht="20.399999999999999">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59"/>
        <v/>
      </c>
      <c r="T709" s="155" t="str">
        <f ca="1">IF(B709="","",IF(ISERROR(MATCH($J709,SorP!$B$1:$B$6226,0)),"",INDIRECT("'SorP'!$A$"&amp;MATCH($S709&amp;$J709,SorP!C:C,0))))</f>
        <v/>
      </c>
      <c r="U709" s="168"/>
      <c r="V709" s="169" t="e">
        <f>IF(C709="",NA(),MATCH($B709&amp;$C709,'Smelter Look-up'!$J:$J,0))</f>
        <v>#N/A</v>
      </c>
      <c r="X709" s="170">
        <f t="shared" ca="1" si="58"/>
        <v>0</v>
      </c>
      <c r="AB709" s="313" t="str">
        <f t="shared" si="55"/>
        <v/>
      </c>
      <c r="AC709" s="170" t="str">
        <f t="shared" si="56"/>
        <v/>
      </c>
      <c r="AD709" s="170" t="str">
        <f t="shared" si="57"/>
        <v/>
      </c>
    </row>
    <row r="710" spans="1:30" s="170" customFormat="1" ht="20.399999999999999">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59"/>
        <v/>
      </c>
      <c r="T710" s="155" t="str">
        <f ca="1">IF(B710="","",IF(ISERROR(MATCH($J710,SorP!$B$1:$B$6226,0)),"",INDIRECT("'SorP'!$A$"&amp;MATCH($S710&amp;$J710,SorP!C:C,0))))</f>
        <v/>
      </c>
      <c r="U710" s="168"/>
      <c r="V710" s="169" t="e">
        <f>IF(C710="",NA(),MATCH($B710&amp;$C710,'Smelter Look-up'!$J:$J,0))</f>
        <v>#N/A</v>
      </c>
      <c r="X710" s="170">
        <f t="shared" ca="1" si="58"/>
        <v>0</v>
      </c>
      <c r="AB710" s="313" t="str">
        <f t="shared" ref="AB710:AB773" si="60">IF(C710="","",B710)</f>
        <v/>
      </c>
      <c r="AC710" s="170" t="str">
        <f t="shared" ref="AC710:AC773" si="61">B710</f>
        <v/>
      </c>
      <c r="AD710" s="170" t="str">
        <f t="shared" ref="AD710:AD773" si="62">IF(C710="Smelter not listed",D710,C710)</f>
        <v/>
      </c>
    </row>
    <row r="711" spans="1:30" s="170" customFormat="1" ht="20.399999999999999">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59"/>
        <v/>
      </c>
      <c r="T711" s="155" t="str">
        <f ca="1">IF(B711="","",IF(ISERROR(MATCH($J711,SorP!$B$1:$B$6226,0)),"",INDIRECT("'SorP'!$A$"&amp;MATCH($S711&amp;$J711,SorP!C:C,0))))</f>
        <v/>
      </c>
      <c r="U711" s="168"/>
      <c r="V711" s="169" t="e">
        <f>IF(C711="",NA(),MATCH($B711&amp;$C711,'Smelter Look-up'!$J:$J,0))</f>
        <v>#N/A</v>
      </c>
      <c r="X711" s="170">
        <f t="shared" ca="1" si="58"/>
        <v>0</v>
      </c>
      <c r="AB711" s="313" t="str">
        <f t="shared" si="60"/>
        <v/>
      </c>
      <c r="AC711" s="170" t="str">
        <f t="shared" si="61"/>
        <v/>
      </c>
      <c r="AD711" s="170" t="str">
        <f t="shared" si="62"/>
        <v/>
      </c>
    </row>
    <row r="712" spans="1:30" s="170" customFormat="1" ht="20.399999999999999">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59"/>
        <v/>
      </c>
      <c r="T712" s="155" t="str">
        <f ca="1">IF(B712="","",IF(ISERROR(MATCH($J712,SorP!$B$1:$B$6226,0)),"",INDIRECT("'SorP'!$A$"&amp;MATCH($S712&amp;$J712,SorP!C:C,0))))</f>
        <v/>
      </c>
      <c r="U712" s="168"/>
      <c r="V712" s="169" t="e">
        <f>IF(C712="",NA(),MATCH($B712&amp;$C712,'Smelter Look-up'!$J:$J,0))</f>
        <v>#N/A</v>
      </c>
      <c r="X712" s="170">
        <f t="shared" ca="1" si="58"/>
        <v>0</v>
      </c>
      <c r="AB712" s="313" t="str">
        <f t="shared" si="60"/>
        <v/>
      </c>
      <c r="AC712" s="170" t="str">
        <f t="shared" si="61"/>
        <v/>
      </c>
      <c r="AD712" s="170" t="str">
        <f t="shared" si="62"/>
        <v/>
      </c>
    </row>
    <row r="713" spans="1:30" s="170" customFormat="1" ht="20.399999999999999">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59"/>
        <v/>
      </c>
      <c r="T713" s="155" t="str">
        <f ca="1">IF(B713="","",IF(ISERROR(MATCH($J713,SorP!$B$1:$B$6226,0)),"",INDIRECT("'SorP'!$A$"&amp;MATCH($S713&amp;$J713,SorP!C:C,0))))</f>
        <v/>
      </c>
      <c r="U713" s="168"/>
      <c r="V713" s="169" t="e">
        <f>IF(C713="",NA(),MATCH($B713&amp;$C713,'Smelter Look-up'!$J:$J,0))</f>
        <v>#N/A</v>
      </c>
      <c r="X713" s="170">
        <f t="shared" ca="1" si="58"/>
        <v>0</v>
      </c>
      <c r="AB713" s="313" t="str">
        <f t="shared" si="60"/>
        <v/>
      </c>
      <c r="AC713" s="170" t="str">
        <f t="shared" si="61"/>
        <v/>
      </c>
      <c r="AD713" s="170" t="str">
        <f t="shared" si="62"/>
        <v/>
      </c>
    </row>
    <row r="714" spans="1:30" s="170" customFormat="1" ht="20.399999999999999">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59"/>
        <v/>
      </c>
      <c r="T714" s="155" t="str">
        <f ca="1">IF(B714="","",IF(ISERROR(MATCH($J714,SorP!$B$1:$B$6226,0)),"",INDIRECT("'SorP'!$A$"&amp;MATCH($S714&amp;$J714,SorP!C:C,0))))</f>
        <v/>
      </c>
      <c r="U714" s="168"/>
      <c r="V714" s="169" t="e">
        <f>IF(C714="",NA(),MATCH($B714&amp;$C714,'Smelter Look-up'!$J:$J,0))</f>
        <v>#N/A</v>
      </c>
      <c r="X714" s="170">
        <f t="shared" ca="1" si="58"/>
        <v>0</v>
      </c>
      <c r="AB714" s="313" t="str">
        <f t="shared" si="60"/>
        <v/>
      </c>
      <c r="AC714" s="170" t="str">
        <f t="shared" si="61"/>
        <v/>
      </c>
      <c r="AD714" s="170" t="str">
        <f t="shared" si="62"/>
        <v/>
      </c>
    </row>
    <row r="715" spans="1:30" s="170" customFormat="1" ht="20.399999999999999">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59"/>
        <v/>
      </c>
      <c r="T715" s="155" t="str">
        <f ca="1">IF(B715="","",IF(ISERROR(MATCH($J715,SorP!$B$1:$B$6226,0)),"",INDIRECT("'SorP'!$A$"&amp;MATCH($S715&amp;$J715,SorP!C:C,0))))</f>
        <v/>
      </c>
      <c r="U715" s="168"/>
      <c r="V715" s="169" t="e">
        <f>IF(C715="",NA(),MATCH($B715&amp;$C715,'Smelter Look-up'!$J:$J,0))</f>
        <v>#N/A</v>
      </c>
      <c r="X715" s="170">
        <f t="shared" ca="1" si="58"/>
        <v>0</v>
      </c>
      <c r="AB715" s="313" t="str">
        <f t="shared" si="60"/>
        <v/>
      </c>
      <c r="AC715" s="170" t="str">
        <f t="shared" si="61"/>
        <v/>
      </c>
      <c r="AD715" s="170" t="str">
        <f t="shared" si="62"/>
        <v/>
      </c>
    </row>
    <row r="716" spans="1:30" s="170" customFormat="1" ht="20.399999999999999">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59"/>
        <v/>
      </c>
      <c r="T716" s="155" t="str">
        <f ca="1">IF(B716="","",IF(ISERROR(MATCH($J716,SorP!$B$1:$B$6226,0)),"",INDIRECT("'SorP'!$A$"&amp;MATCH($S716&amp;$J716,SorP!C:C,0))))</f>
        <v/>
      </c>
      <c r="U716" s="168"/>
      <c r="V716" s="169" t="e">
        <f>IF(C716="",NA(),MATCH($B716&amp;$C716,'Smelter Look-up'!$J:$J,0))</f>
        <v>#N/A</v>
      </c>
      <c r="X716" s="170">
        <f t="shared" ca="1" si="58"/>
        <v>0</v>
      </c>
      <c r="AB716" s="313" t="str">
        <f t="shared" si="60"/>
        <v/>
      </c>
      <c r="AC716" s="170" t="str">
        <f t="shared" si="61"/>
        <v/>
      </c>
      <c r="AD716" s="170" t="str">
        <f t="shared" si="62"/>
        <v/>
      </c>
    </row>
    <row r="717" spans="1:30" s="170" customFormat="1" ht="20.399999999999999">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59"/>
        <v/>
      </c>
      <c r="T717" s="155" t="str">
        <f ca="1">IF(B717="","",IF(ISERROR(MATCH($J717,SorP!$B$1:$B$6226,0)),"",INDIRECT("'SorP'!$A$"&amp;MATCH($S717&amp;$J717,SorP!C:C,0))))</f>
        <v/>
      </c>
      <c r="U717" s="168"/>
      <c r="V717" s="169" t="e">
        <f>IF(C717="",NA(),MATCH($B717&amp;$C717,'Smelter Look-up'!$J:$J,0))</f>
        <v>#N/A</v>
      </c>
      <c r="X717" s="170">
        <f t="shared" ca="1" si="58"/>
        <v>0</v>
      </c>
      <c r="AB717" s="313" t="str">
        <f t="shared" si="60"/>
        <v/>
      </c>
      <c r="AC717" s="170" t="str">
        <f t="shared" si="61"/>
        <v/>
      </c>
      <c r="AD717" s="170" t="str">
        <f t="shared" si="62"/>
        <v/>
      </c>
    </row>
    <row r="718" spans="1:30" s="170" customFormat="1" ht="20.399999999999999">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59"/>
        <v/>
      </c>
      <c r="T718" s="155" t="str">
        <f ca="1">IF(B718="","",IF(ISERROR(MATCH($J718,SorP!$B$1:$B$6226,0)),"",INDIRECT("'SorP'!$A$"&amp;MATCH($S718&amp;$J718,SorP!C:C,0))))</f>
        <v/>
      </c>
      <c r="U718" s="168"/>
      <c r="V718" s="169" t="e">
        <f>IF(C718="",NA(),MATCH($B718&amp;$C718,'Smelter Look-up'!$J:$J,0))</f>
        <v>#N/A</v>
      </c>
      <c r="X718" s="170">
        <f t="shared" ca="1" si="58"/>
        <v>0</v>
      </c>
      <c r="AB718" s="313" t="str">
        <f t="shared" si="60"/>
        <v/>
      </c>
      <c r="AC718" s="170" t="str">
        <f t="shared" si="61"/>
        <v/>
      </c>
      <c r="AD718" s="170" t="str">
        <f t="shared" si="62"/>
        <v/>
      </c>
    </row>
    <row r="719" spans="1:30" s="170" customFormat="1" ht="20.399999999999999">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59"/>
        <v/>
      </c>
      <c r="T719" s="155" t="str">
        <f ca="1">IF(B719="","",IF(ISERROR(MATCH($J719,SorP!$B$1:$B$6226,0)),"",INDIRECT("'SorP'!$A$"&amp;MATCH($S719&amp;$J719,SorP!C:C,0))))</f>
        <v/>
      </c>
      <c r="U719" s="168"/>
      <c r="V719" s="169" t="e">
        <f>IF(C719="",NA(),MATCH($B719&amp;$C719,'Smelter Look-up'!$J:$J,0))</f>
        <v>#N/A</v>
      </c>
      <c r="X719" s="170">
        <f t="shared" ca="1" si="58"/>
        <v>0</v>
      </c>
      <c r="AB719" s="313" t="str">
        <f t="shared" si="60"/>
        <v/>
      </c>
      <c r="AC719" s="170" t="str">
        <f t="shared" si="61"/>
        <v/>
      </c>
      <c r="AD719" s="170" t="str">
        <f t="shared" si="62"/>
        <v/>
      </c>
    </row>
    <row r="720" spans="1:30" s="170" customFormat="1" ht="20.399999999999999">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59"/>
        <v/>
      </c>
      <c r="T720" s="155" t="str">
        <f ca="1">IF(B720="","",IF(ISERROR(MATCH($J720,SorP!$B$1:$B$6226,0)),"",INDIRECT("'SorP'!$A$"&amp;MATCH($S720&amp;$J720,SorP!C:C,0))))</f>
        <v/>
      </c>
      <c r="U720" s="168"/>
      <c r="V720" s="169" t="e">
        <f>IF(C720="",NA(),MATCH($B720&amp;$C720,'Smelter Look-up'!$J:$J,0))</f>
        <v>#N/A</v>
      </c>
      <c r="X720" s="170">
        <f t="shared" ca="1" si="58"/>
        <v>0</v>
      </c>
      <c r="AB720" s="313" t="str">
        <f t="shared" si="60"/>
        <v/>
      </c>
      <c r="AC720" s="170" t="str">
        <f t="shared" si="61"/>
        <v/>
      </c>
      <c r="AD720" s="170" t="str">
        <f t="shared" si="62"/>
        <v/>
      </c>
    </row>
    <row r="721" spans="1:30" s="170" customFormat="1" ht="20.399999999999999">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59"/>
        <v/>
      </c>
      <c r="T721" s="155" t="str">
        <f ca="1">IF(B721="","",IF(ISERROR(MATCH($J721,SorP!$B$1:$B$6226,0)),"",INDIRECT("'SorP'!$A$"&amp;MATCH($S721&amp;$J721,SorP!C:C,0))))</f>
        <v/>
      </c>
      <c r="U721" s="168"/>
      <c r="V721" s="169" t="e">
        <f>IF(C721="",NA(),MATCH($B721&amp;$C721,'Smelter Look-up'!$J:$J,0))</f>
        <v>#N/A</v>
      </c>
      <c r="X721" s="170">
        <f t="shared" ca="1" si="58"/>
        <v>0</v>
      </c>
      <c r="AB721" s="313" t="str">
        <f t="shared" si="60"/>
        <v/>
      </c>
      <c r="AC721" s="170" t="str">
        <f t="shared" si="61"/>
        <v/>
      </c>
      <c r="AD721" s="170" t="str">
        <f t="shared" si="62"/>
        <v/>
      </c>
    </row>
    <row r="722" spans="1:30" s="170" customFormat="1" ht="20.399999999999999">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59"/>
        <v/>
      </c>
      <c r="T722" s="155" t="str">
        <f ca="1">IF(B722="","",IF(ISERROR(MATCH($J722,SorP!$B$1:$B$6226,0)),"",INDIRECT("'SorP'!$A$"&amp;MATCH($S722&amp;$J722,SorP!C:C,0))))</f>
        <v/>
      </c>
      <c r="U722" s="168"/>
      <c r="V722" s="169" t="e">
        <f>IF(C722="",NA(),MATCH($B722&amp;$C722,'Smelter Look-up'!$J:$J,0))</f>
        <v>#N/A</v>
      </c>
      <c r="X722" s="170">
        <f t="shared" ca="1" si="58"/>
        <v>0</v>
      </c>
      <c r="AB722" s="313" t="str">
        <f t="shared" si="60"/>
        <v/>
      </c>
      <c r="AC722" s="170" t="str">
        <f t="shared" si="61"/>
        <v/>
      </c>
      <c r="AD722" s="170" t="str">
        <f t="shared" si="62"/>
        <v/>
      </c>
    </row>
    <row r="723" spans="1:30" s="170" customFormat="1" ht="20.399999999999999">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59"/>
        <v/>
      </c>
      <c r="T723" s="155" t="str">
        <f ca="1">IF(B723="","",IF(ISERROR(MATCH($J723,SorP!$B$1:$B$6226,0)),"",INDIRECT("'SorP'!$A$"&amp;MATCH($S723&amp;$J723,SorP!C:C,0))))</f>
        <v/>
      </c>
      <c r="U723" s="168"/>
      <c r="V723" s="169" t="e">
        <f>IF(C723="",NA(),MATCH($B723&amp;$C723,'Smelter Look-up'!$J:$J,0))</f>
        <v>#N/A</v>
      </c>
      <c r="X723" s="170">
        <f t="shared" ca="1" si="58"/>
        <v>0</v>
      </c>
      <c r="AB723" s="313" t="str">
        <f t="shared" si="60"/>
        <v/>
      </c>
      <c r="AC723" s="170" t="str">
        <f t="shared" si="61"/>
        <v/>
      </c>
      <c r="AD723" s="170" t="str">
        <f t="shared" si="62"/>
        <v/>
      </c>
    </row>
    <row r="724" spans="1:30" s="170" customFormat="1" ht="20.399999999999999">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59"/>
        <v/>
      </c>
      <c r="T724" s="155" t="str">
        <f ca="1">IF(B724="","",IF(ISERROR(MATCH($J724,SorP!$B$1:$B$6226,0)),"",INDIRECT("'SorP'!$A$"&amp;MATCH($S724&amp;$J724,SorP!C:C,0))))</f>
        <v/>
      </c>
      <c r="U724" s="168"/>
      <c r="V724" s="169" t="e">
        <f>IF(C724="",NA(),MATCH($B724&amp;$C724,'Smelter Look-up'!$J:$J,0))</f>
        <v>#N/A</v>
      </c>
      <c r="X724" s="170">
        <f t="shared" ca="1" si="58"/>
        <v>0</v>
      </c>
      <c r="AB724" s="313" t="str">
        <f t="shared" si="60"/>
        <v/>
      </c>
      <c r="AC724" s="170" t="str">
        <f t="shared" si="61"/>
        <v/>
      </c>
      <c r="AD724" s="170" t="str">
        <f t="shared" si="62"/>
        <v/>
      </c>
    </row>
    <row r="725" spans="1:30" s="170" customFormat="1" ht="20.399999999999999">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59"/>
        <v/>
      </c>
      <c r="T725" s="155" t="str">
        <f ca="1">IF(B725="","",IF(ISERROR(MATCH($J725,SorP!$B$1:$B$6226,0)),"",INDIRECT("'SorP'!$A$"&amp;MATCH($S725&amp;$J725,SorP!C:C,0))))</f>
        <v/>
      </c>
      <c r="U725" s="168"/>
      <c r="V725" s="169" t="e">
        <f>IF(C725="",NA(),MATCH($B725&amp;$C725,'Smelter Look-up'!$J:$J,0))</f>
        <v>#N/A</v>
      </c>
      <c r="X725" s="170">
        <f t="shared" ca="1" si="58"/>
        <v>0</v>
      </c>
      <c r="AB725" s="313" t="str">
        <f t="shared" si="60"/>
        <v/>
      </c>
      <c r="AC725" s="170" t="str">
        <f t="shared" si="61"/>
        <v/>
      </c>
      <c r="AD725" s="170" t="str">
        <f t="shared" si="62"/>
        <v/>
      </c>
    </row>
    <row r="726" spans="1:30" s="170" customFormat="1" ht="20.399999999999999">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59"/>
        <v/>
      </c>
      <c r="T726" s="155" t="str">
        <f ca="1">IF(B726="","",IF(ISERROR(MATCH($J726,SorP!$B$1:$B$6226,0)),"",INDIRECT("'SorP'!$A$"&amp;MATCH($S726&amp;$J726,SorP!C:C,0))))</f>
        <v/>
      </c>
      <c r="U726" s="168"/>
      <c r="V726" s="169" t="e">
        <f>IF(C726="",NA(),MATCH($B726&amp;$C726,'Smelter Look-up'!$J:$J,0))</f>
        <v>#N/A</v>
      </c>
      <c r="X726" s="170">
        <f t="shared" ca="1" si="58"/>
        <v>0</v>
      </c>
      <c r="AB726" s="313" t="str">
        <f t="shared" si="60"/>
        <v/>
      </c>
      <c r="AC726" s="170" t="str">
        <f t="shared" si="61"/>
        <v/>
      </c>
      <c r="AD726" s="170" t="str">
        <f t="shared" si="62"/>
        <v/>
      </c>
    </row>
    <row r="727" spans="1:30" s="170" customFormat="1" ht="20.399999999999999">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59"/>
        <v/>
      </c>
      <c r="T727" s="155" t="str">
        <f ca="1">IF(B727="","",IF(ISERROR(MATCH($J727,SorP!$B$1:$B$6226,0)),"",INDIRECT("'SorP'!$A$"&amp;MATCH($S727&amp;$J727,SorP!C:C,0))))</f>
        <v/>
      </c>
      <c r="U727" s="168"/>
      <c r="V727" s="169" t="e">
        <f>IF(C727="",NA(),MATCH($B727&amp;$C727,'Smelter Look-up'!$J:$J,0))</f>
        <v>#N/A</v>
      </c>
      <c r="X727" s="170">
        <f t="shared" ca="1" si="58"/>
        <v>0</v>
      </c>
      <c r="AB727" s="313" t="str">
        <f t="shared" si="60"/>
        <v/>
      </c>
      <c r="AC727" s="170" t="str">
        <f t="shared" si="61"/>
        <v/>
      </c>
      <c r="AD727" s="170" t="str">
        <f t="shared" si="62"/>
        <v/>
      </c>
    </row>
    <row r="728" spans="1:30" s="170" customFormat="1" ht="20.399999999999999">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59"/>
        <v/>
      </c>
      <c r="T728" s="155" t="str">
        <f ca="1">IF(B728="","",IF(ISERROR(MATCH($J728,SorP!$B$1:$B$6226,0)),"",INDIRECT("'SorP'!$A$"&amp;MATCH($S728&amp;$J728,SorP!C:C,0))))</f>
        <v/>
      </c>
      <c r="U728" s="168"/>
      <c r="V728" s="169" t="e">
        <f>IF(C728="",NA(),MATCH($B728&amp;$C728,'Smelter Look-up'!$J:$J,0))</f>
        <v>#N/A</v>
      </c>
      <c r="X728" s="170">
        <f t="shared" ca="1" si="58"/>
        <v>0</v>
      </c>
      <c r="AB728" s="313" t="str">
        <f t="shared" si="60"/>
        <v/>
      </c>
      <c r="AC728" s="170" t="str">
        <f t="shared" si="61"/>
        <v/>
      </c>
      <c r="AD728" s="170" t="str">
        <f t="shared" si="62"/>
        <v/>
      </c>
    </row>
    <row r="729" spans="1:30" s="170" customFormat="1" ht="20.399999999999999">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59"/>
        <v/>
      </c>
      <c r="T729" s="155" t="str">
        <f ca="1">IF(B729="","",IF(ISERROR(MATCH($J729,SorP!$B$1:$B$6226,0)),"",INDIRECT("'SorP'!$A$"&amp;MATCH($S729&amp;$J729,SorP!C:C,0))))</f>
        <v/>
      </c>
      <c r="U729" s="168"/>
      <c r="V729" s="169" t="e">
        <f>IF(C729="",NA(),MATCH($B729&amp;$C729,'Smelter Look-up'!$J:$J,0))</f>
        <v>#N/A</v>
      </c>
      <c r="X729" s="170">
        <f t="shared" ca="1" si="58"/>
        <v>0</v>
      </c>
      <c r="AB729" s="313" t="str">
        <f t="shared" si="60"/>
        <v/>
      </c>
      <c r="AC729" s="170" t="str">
        <f t="shared" si="61"/>
        <v/>
      </c>
      <c r="AD729" s="170" t="str">
        <f t="shared" si="62"/>
        <v/>
      </c>
    </row>
    <row r="730" spans="1:30" s="170" customFormat="1" ht="20.399999999999999">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59"/>
        <v/>
      </c>
      <c r="T730" s="155" t="str">
        <f ca="1">IF(B730="","",IF(ISERROR(MATCH($J730,SorP!$B$1:$B$6226,0)),"",INDIRECT("'SorP'!$A$"&amp;MATCH($S730&amp;$J730,SorP!C:C,0))))</f>
        <v/>
      </c>
      <c r="U730" s="168"/>
      <c r="V730" s="169" t="e">
        <f>IF(C730="",NA(),MATCH($B730&amp;$C730,'Smelter Look-up'!$J:$J,0))</f>
        <v>#N/A</v>
      </c>
      <c r="X730" s="170">
        <f t="shared" ca="1" si="58"/>
        <v>0</v>
      </c>
      <c r="AB730" s="313" t="str">
        <f t="shared" si="60"/>
        <v/>
      </c>
      <c r="AC730" s="170" t="str">
        <f t="shared" si="61"/>
        <v/>
      </c>
      <c r="AD730" s="170" t="str">
        <f t="shared" si="62"/>
        <v/>
      </c>
    </row>
    <row r="731" spans="1:30" s="170" customFormat="1" ht="20.399999999999999">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59"/>
        <v/>
      </c>
      <c r="T731" s="155" t="str">
        <f ca="1">IF(B731="","",IF(ISERROR(MATCH($J731,SorP!$B$1:$B$6226,0)),"",INDIRECT("'SorP'!$A$"&amp;MATCH($S731&amp;$J731,SorP!C:C,0))))</f>
        <v/>
      </c>
      <c r="U731" s="168"/>
      <c r="V731" s="169" t="e">
        <f>IF(C731="",NA(),MATCH($B731&amp;$C731,'Smelter Look-up'!$J:$J,0))</f>
        <v>#N/A</v>
      </c>
      <c r="X731" s="170">
        <f t="shared" ca="1" si="58"/>
        <v>0</v>
      </c>
      <c r="AB731" s="313" t="str">
        <f t="shared" si="60"/>
        <v/>
      </c>
      <c r="AC731" s="170" t="str">
        <f t="shared" si="61"/>
        <v/>
      </c>
      <c r="AD731" s="170" t="str">
        <f t="shared" si="62"/>
        <v/>
      </c>
    </row>
    <row r="732" spans="1:30" s="170" customFormat="1" ht="20.399999999999999">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59"/>
        <v/>
      </c>
      <c r="T732" s="155" t="str">
        <f ca="1">IF(B732="","",IF(ISERROR(MATCH($J732,SorP!$B$1:$B$6226,0)),"",INDIRECT("'SorP'!$A$"&amp;MATCH($S732&amp;$J732,SorP!C:C,0))))</f>
        <v/>
      </c>
      <c r="U732" s="168"/>
      <c r="V732" s="169" t="e">
        <f>IF(C732="",NA(),MATCH($B732&amp;$C732,'Smelter Look-up'!$J:$J,0))</f>
        <v>#N/A</v>
      </c>
      <c r="X732" s="170">
        <f t="shared" ca="1" si="58"/>
        <v>0</v>
      </c>
      <c r="AB732" s="313" t="str">
        <f t="shared" si="60"/>
        <v/>
      </c>
      <c r="AC732" s="170" t="str">
        <f t="shared" si="61"/>
        <v/>
      </c>
      <c r="AD732" s="170" t="str">
        <f t="shared" si="62"/>
        <v/>
      </c>
    </row>
    <row r="733" spans="1:30" s="170" customFormat="1" ht="20.399999999999999">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59"/>
        <v/>
      </c>
      <c r="T733" s="155" t="str">
        <f ca="1">IF(B733="","",IF(ISERROR(MATCH($J733,SorP!$B$1:$B$6226,0)),"",INDIRECT("'SorP'!$A$"&amp;MATCH($S733&amp;$J733,SorP!C:C,0))))</f>
        <v/>
      </c>
      <c r="U733" s="168"/>
      <c r="V733" s="169" t="e">
        <f>IF(C733="",NA(),MATCH($B733&amp;$C733,'Smelter Look-up'!$J:$J,0))</f>
        <v>#N/A</v>
      </c>
      <c r="X733" s="170">
        <f t="shared" ca="1" si="58"/>
        <v>0</v>
      </c>
      <c r="AB733" s="313" t="str">
        <f t="shared" si="60"/>
        <v/>
      </c>
      <c r="AC733" s="170" t="str">
        <f t="shared" si="61"/>
        <v/>
      </c>
      <c r="AD733" s="170" t="str">
        <f t="shared" si="62"/>
        <v/>
      </c>
    </row>
    <row r="734" spans="1:30" s="170" customFormat="1" ht="20.399999999999999">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59"/>
        <v/>
      </c>
      <c r="T734" s="155" t="str">
        <f ca="1">IF(B734="","",IF(ISERROR(MATCH($J734,SorP!$B$1:$B$6226,0)),"",INDIRECT("'SorP'!$A$"&amp;MATCH($S734&amp;$J734,SorP!C:C,0))))</f>
        <v/>
      </c>
      <c r="U734" s="168"/>
      <c r="V734" s="169" t="e">
        <f>IF(C734="",NA(),MATCH($B734&amp;$C734,'Smelter Look-up'!$J:$J,0))</f>
        <v>#N/A</v>
      </c>
      <c r="X734" s="170">
        <f t="shared" ca="1" si="58"/>
        <v>0</v>
      </c>
      <c r="AB734" s="313" t="str">
        <f t="shared" si="60"/>
        <v/>
      </c>
      <c r="AC734" s="170" t="str">
        <f t="shared" si="61"/>
        <v/>
      </c>
      <c r="AD734" s="170" t="str">
        <f t="shared" si="62"/>
        <v/>
      </c>
    </row>
    <row r="735" spans="1:30" s="170" customFormat="1" ht="20.399999999999999">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59"/>
        <v/>
      </c>
      <c r="T735" s="155" t="str">
        <f ca="1">IF(B735="","",IF(ISERROR(MATCH($J735,SorP!$B$1:$B$6226,0)),"",INDIRECT("'SorP'!$A$"&amp;MATCH($S735&amp;$J735,SorP!C:C,0))))</f>
        <v/>
      </c>
      <c r="U735" s="168"/>
      <c r="V735" s="169" t="e">
        <f>IF(C735="",NA(),MATCH($B735&amp;$C735,'Smelter Look-up'!$J:$J,0))</f>
        <v>#N/A</v>
      </c>
      <c r="X735" s="170">
        <f t="shared" ca="1" si="58"/>
        <v>0</v>
      </c>
      <c r="AB735" s="313" t="str">
        <f t="shared" si="60"/>
        <v/>
      </c>
      <c r="AC735" s="170" t="str">
        <f t="shared" si="61"/>
        <v/>
      </c>
      <c r="AD735" s="170" t="str">
        <f t="shared" si="62"/>
        <v/>
      </c>
    </row>
    <row r="736" spans="1:30" s="170" customFormat="1" ht="20.399999999999999">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59"/>
        <v/>
      </c>
      <c r="T736" s="155" t="str">
        <f ca="1">IF(B736="","",IF(ISERROR(MATCH($J736,SorP!$B$1:$B$6226,0)),"",INDIRECT("'SorP'!$A$"&amp;MATCH($S736&amp;$J736,SorP!C:C,0))))</f>
        <v/>
      </c>
      <c r="U736" s="168"/>
      <c r="V736" s="169" t="e">
        <f>IF(C736="",NA(),MATCH($B736&amp;$C736,'Smelter Look-up'!$J:$J,0))</f>
        <v>#N/A</v>
      </c>
      <c r="X736" s="170">
        <f t="shared" ca="1" si="58"/>
        <v>0</v>
      </c>
      <c r="AB736" s="313" t="str">
        <f t="shared" si="60"/>
        <v/>
      </c>
      <c r="AC736" s="170" t="str">
        <f t="shared" si="61"/>
        <v/>
      </c>
      <c r="AD736" s="170" t="str">
        <f t="shared" si="62"/>
        <v/>
      </c>
    </row>
    <row r="737" spans="1:30" s="170" customFormat="1" ht="20.399999999999999">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59"/>
        <v/>
      </c>
      <c r="T737" s="155" t="str">
        <f ca="1">IF(B737="","",IF(ISERROR(MATCH($J737,SorP!$B$1:$B$6226,0)),"",INDIRECT("'SorP'!$A$"&amp;MATCH($S737&amp;$J737,SorP!C:C,0))))</f>
        <v/>
      </c>
      <c r="U737" s="168"/>
      <c r="V737" s="169" t="e">
        <f>IF(C737="",NA(),MATCH($B737&amp;$C737,'Smelter Look-up'!$J:$J,0))</f>
        <v>#N/A</v>
      </c>
      <c r="X737" s="170">
        <f t="shared" ca="1" si="58"/>
        <v>0</v>
      </c>
      <c r="AB737" s="313" t="str">
        <f t="shared" si="60"/>
        <v/>
      </c>
      <c r="AC737" s="170" t="str">
        <f t="shared" si="61"/>
        <v/>
      </c>
      <c r="AD737" s="170" t="str">
        <f t="shared" si="62"/>
        <v/>
      </c>
    </row>
    <row r="738" spans="1:30" s="170" customFormat="1" ht="20.399999999999999">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59"/>
        <v/>
      </c>
      <c r="T738" s="155" t="str">
        <f ca="1">IF(B738="","",IF(ISERROR(MATCH($J738,SorP!$B$1:$B$6226,0)),"",INDIRECT("'SorP'!$A$"&amp;MATCH($S738&amp;$J738,SorP!C:C,0))))</f>
        <v/>
      </c>
      <c r="U738" s="168"/>
      <c r="V738" s="169" t="e">
        <f>IF(C738="",NA(),MATCH($B738&amp;$C738,'Smelter Look-up'!$J:$J,0))</f>
        <v>#N/A</v>
      </c>
      <c r="X738" s="170">
        <f t="shared" ca="1" si="58"/>
        <v>0</v>
      </c>
      <c r="AB738" s="313" t="str">
        <f t="shared" si="60"/>
        <v/>
      </c>
      <c r="AC738" s="170" t="str">
        <f t="shared" si="61"/>
        <v/>
      </c>
      <c r="AD738" s="170" t="str">
        <f t="shared" si="62"/>
        <v/>
      </c>
    </row>
    <row r="739" spans="1:30" s="170" customFormat="1" ht="20.399999999999999">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59"/>
        <v/>
      </c>
      <c r="T739" s="155" t="str">
        <f ca="1">IF(B739="","",IF(ISERROR(MATCH($J739,SorP!$B$1:$B$6226,0)),"",INDIRECT("'SorP'!$A$"&amp;MATCH($S739&amp;$J739,SorP!C:C,0))))</f>
        <v/>
      </c>
      <c r="U739" s="168"/>
      <c r="V739" s="169" t="e">
        <f>IF(C739="",NA(),MATCH($B739&amp;$C739,'Smelter Look-up'!$J:$J,0))</f>
        <v>#N/A</v>
      </c>
      <c r="X739" s="170">
        <f t="shared" ca="1" si="58"/>
        <v>0</v>
      </c>
      <c r="AB739" s="313" t="str">
        <f t="shared" si="60"/>
        <v/>
      </c>
      <c r="AC739" s="170" t="str">
        <f t="shared" si="61"/>
        <v/>
      </c>
      <c r="AD739" s="170" t="str">
        <f t="shared" si="62"/>
        <v/>
      </c>
    </row>
    <row r="740" spans="1:30" s="170" customFormat="1" ht="20.399999999999999">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59"/>
        <v/>
      </c>
      <c r="T740" s="155" t="str">
        <f ca="1">IF(B740="","",IF(ISERROR(MATCH($J740,SorP!$B$1:$B$6226,0)),"",INDIRECT("'SorP'!$A$"&amp;MATCH($S740&amp;$J740,SorP!C:C,0))))</f>
        <v/>
      </c>
      <c r="U740" s="168"/>
      <c r="V740" s="169" t="e">
        <f>IF(C740="",NA(),MATCH($B740&amp;$C740,'Smelter Look-up'!$J:$J,0))</f>
        <v>#N/A</v>
      </c>
      <c r="X740" s="170">
        <f t="shared" ca="1" si="58"/>
        <v>0</v>
      </c>
      <c r="AB740" s="313" t="str">
        <f t="shared" si="60"/>
        <v/>
      </c>
      <c r="AC740" s="170" t="str">
        <f t="shared" si="61"/>
        <v/>
      </c>
      <c r="AD740" s="170" t="str">
        <f t="shared" si="62"/>
        <v/>
      </c>
    </row>
    <row r="741" spans="1:30" s="170" customFormat="1" ht="20.399999999999999">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59"/>
        <v/>
      </c>
      <c r="T741" s="155" t="str">
        <f ca="1">IF(B741="","",IF(ISERROR(MATCH($J741,SorP!$B$1:$B$6226,0)),"",INDIRECT("'SorP'!$A$"&amp;MATCH($S741&amp;$J741,SorP!C:C,0))))</f>
        <v/>
      </c>
      <c r="U741" s="168"/>
      <c r="V741" s="169" t="e">
        <f>IF(C741="",NA(),MATCH($B741&amp;$C741,'Smelter Look-up'!$J:$J,0))</f>
        <v>#N/A</v>
      </c>
      <c r="X741" s="170">
        <f t="shared" ca="1" si="58"/>
        <v>0</v>
      </c>
      <c r="AB741" s="313" t="str">
        <f t="shared" si="60"/>
        <v/>
      </c>
      <c r="AC741" s="170" t="str">
        <f t="shared" si="61"/>
        <v/>
      </c>
      <c r="AD741" s="170" t="str">
        <f t="shared" si="62"/>
        <v/>
      </c>
    </row>
    <row r="742" spans="1:30" s="170" customFormat="1" ht="20.399999999999999">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59"/>
        <v/>
      </c>
      <c r="T742" s="155" t="str">
        <f ca="1">IF(B742="","",IF(ISERROR(MATCH($J742,SorP!$B$1:$B$6226,0)),"",INDIRECT("'SorP'!$A$"&amp;MATCH($S742&amp;$J742,SorP!C:C,0))))</f>
        <v/>
      </c>
      <c r="U742" s="168"/>
      <c r="V742" s="169" t="e">
        <f>IF(C742="",NA(),MATCH($B742&amp;$C742,'Smelter Look-up'!$J:$J,0))</f>
        <v>#N/A</v>
      </c>
      <c r="X742" s="170">
        <f t="shared" ca="1" si="58"/>
        <v>0</v>
      </c>
      <c r="AB742" s="313" t="str">
        <f t="shared" si="60"/>
        <v/>
      </c>
      <c r="AC742" s="170" t="str">
        <f t="shared" si="61"/>
        <v/>
      </c>
      <c r="AD742" s="170" t="str">
        <f t="shared" si="62"/>
        <v/>
      </c>
    </row>
    <row r="743" spans="1:30" s="170" customFormat="1" ht="20.399999999999999">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59"/>
        <v/>
      </c>
      <c r="T743" s="155" t="str">
        <f ca="1">IF(B743="","",IF(ISERROR(MATCH($J743,SorP!$B$1:$B$6226,0)),"",INDIRECT("'SorP'!$A$"&amp;MATCH($S743&amp;$J743,SorP!C:C,0))))</f>
        <v/>
      </c>
      <c r="U743" s="168"/>
      <c r="V743" s="169" t="e">
        <f>IF(C743="",NA(),MATCH($B743&amp;$C743,'Smelter Look-up'!$J:$J,0))</f>
        <v>#N/A</v>
      </c>
      <c r="X743" s="170">
        <f t="shared" ca="1" si="58"/>
        <v>0</v>
      </c>
      <c r="AB743" s="313" t="str">
        <f t="shared" si="60"/>
        <v/>
      </c>
      <c r="AC743" s="170" t="str">
        <f t="shared" si="61"/>
        <v/>
      </c>
      <c r="AD743" s="170" t="str">
        <f t="shared" si="62"/>
        <v/>
      </c>
    </row>
    <row r="744" spans="1:30" s="170" customFormat="1" ht="20.399999999999999">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59"/>
        <v/>
      </c>
      <c r="T744" s="155" t="str">
        <f ca="1">IF(B744="","",IF(ISERROR(MATCH($J744,SorP!$B$1:$B$6226,0)),"",INDIRECT("'SorP'!$A$"&amp;MATCH($S744&amp;$J744,SorP!C:C,0))))</f>
        <v/>
      </c>
      <c r="U744" s="168"/>
      <c r="V744" s="169" t="e">
        <f>IF(C744="",NA(),MATCH($B744&amp;$C744,'Smelter Look-up'!$J:$J,0))</f>
        <v>#N/A</v>
      </c>
      <c r="X744" s="170">
        <f t="shared" ca="1" si="58"/>
        <v>0</v>
      </c>
      <c r="AB744" s="313" t="str">
        <f t="shared" si="60"/>
        <v/>
      </c>
      <c r="AC744" s="170" t="str">
        <f t="shared" si="61"/>
        <v/>
      </c>
      <c r="AD744" s="170" t="str">
        <f t="shared" si="62"/>
        <v/>
      </c>
    </row>
    <row r="745" spans="1:30" s="170" customFormat="1" ht="20.399999999999999">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59"/>
        <v/>
      </c>
      <c r="T745" s="155" t="str">
        <f ca="1">IF(B745="","",IF(ISERROR(MATCH($J745,SorP!$B$1:$B$6226,0)),"",INDIRECT("'SorP'!$A$"&amp;MATCH($S745&amp;$J745,SorP!C:C,0))))</f>
        <v/>
      </c>
      <c r="U745" s="168"/>
      <c r="V745" s="169" t="e">
        <f>IF(C745="",NA(),MATCH($B745&amp;$C745,'Smelter Look-up'!$J:$J,0))</f>
        <v>#N/A</v>
      </c>
      <c r="X745" s="170">
        <f t="shared" ca="1" si="58"/>
        <v>0</v>
      </c>
      <c r="AB745" s="313" t="str">
        <f t="shared" si="60"/>
        <v/>
      </c>
      <c r="AC745" s="170" t="str">
        <f t="shared" si="61"/>
        <v/>
      </c>
      <c r="AD745" s="170" t="str">
        <f t="shared" si="62"/>
        <v/>
      </c>
    </row>
    <row r="746" spans="1:30" s="170" customFormat="1" ht="20.399999999999999">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59"/>
        <v/>
      </c>
      <c r="T746" s="155" t="str">
        <f ca="1">IF(B746="","",IF(ISERROR(MATCH($J746,SorP!$B$1:$B$6226,0)),"",INDIRECT("'SorP'!$A$"&amp;MATCH($S746&amp;$J746,SorP!C:C,0))))</f>
        <v/>
      </c>
      <c r="U746" s="168"/>
      <c r="V746" s="169" t="e">
        <f>IF(C746="",NA(),MATCH($B746&amp;$C746,'Smelter Look-up'!$J:$J,0))</f>
        <v>#N/A</v>
      </c>
      <c r="X746" s="170">
        <f t="shared" ca="1" si="58"/>
        <v>0</v>
      </c>
      <c r="AB746" s="313" t="str">
        <f t="shared" si="60"/>
        <v/>
      </c>
      <c r="AC746" s="170" t="str">
        <f t="shared" si="61"/>
        <v/>
      </c>
      <c r="AD746" s="170" t="str">
        <f t="shared" si="62"/>
        <v/>
      </c>
    </row>
    <row r="747" spans="1:30" s="170" customFormat="1" ht="20.399999999999999">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59"/>
        <v/>
      </c>
      <c r="T747" s="155" t="str">
        <f ca="1">IF(B747="","",IF(ISERROR(MATCH($J747,SorP!$B$1:$B$6226,0)),"",INDIRECT("'SorP'!$A$"&amp;MATCH($S747&amp;$J747,SorP!C:C,0))))</f>
        <v/>
      </c>
      <c r="U747" s="168"/>
      <c r="V747" s="169" t="e">
        <f>IF(C747="",NA(),MATCH($B747&amp;$C747,'Smelter Look-up'!$J:$J,0))</f>
        <v>#N/A</v>
      </c>
      <c r="X747" s="170">
        <f t="shared" ca="1" si="58"/>
        <v>0</v>
      </c>
      <c r="AB747" s="313" t="str">
        <f t="shared" si="60"/>
        <v/>
      </c>
      <c r="AC747" s="170" t="str">
        <f t="shared" si="61"/>
        <v/>
      </c>
      <c r="AD747" s="170" t="str">
        <f t="shared" si="62"/>
        <v/>
      </c>
    </row>
    <row r="748" spans="1:30" s="170" customFormat="1" ht="20.399999999999999">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59"/>
        <v/>
      </c>
      <c r="T748" s="155" t="str">
        <f ca="1">IF(B748="","",IF(ISERROR(MATCH($J748,SorP!$B$1:$B$6226,0)),"",INDIRECT("'SorP'!$A$"&amp;MATCH($S748&amp;$J748,SorP!C:C,0))))</f>
        <v/>
      </c>
      <c r="U748" s="168"/>
      <c r="V748" s="169" t="e">
        <f>IF(C748="",NA(),MATCH($B748&amp;$C748,'Smelter Look-up'!$J:$J,0))</f>
        <v>#N/A</v>
      </c>
      <c r="X748" s="170">
        <f t="shared" ca="1" si="58"/>
        <v>0</v>
      </c>
      <c r="AB748" s="313" t="str">
        <f t="shared" si="60"/>
        <v/>
      </c>
      <c r="AC748" s="170" t="str">
        <f t="shared" si="61"/>
        <v/>
      </c>
      <c r="AD748" s="170" t="str">
        <f t="shared" si="62"/>
        <v/>
      </c>
    </row>
    <row r="749" spans="1:30" s="170" customFormat="1" ht="20.399999999999999">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59"/>
        <v/>
      </c>
      <c r="T749" s="155" t="str">
        <f ca="1">IF(B749="","",IF(ISERROR(MATCH($J749,SorP!$B$1:$B$6226,0)),"",INDIRECT("'SorP'!$A$"&amp;MATCH($S749&amp;$J749,SorP!C:C,0))))</f>
        <v/>
      </c>
      <c r="U749" s="168"/>
      <c r="V749" s="169" t="e">
        <f>IF(C749="",NA(),MATCH($B749&amp;$C749,'Smelter Look-up'!$J:$J,0))</f>
        <v>#N/A</v>
      </c>
      <c r="X749" s="170">
        <f t="shared" ca="1" si="58"/>
        <v>0</v>
      </c>
      <c r="AB749" s="313" t="str">
        <f t="shared" si="60"/>
        <v/>
      </c>
      <c r="AC749" s="170" t="str">
        <f t="shared" si="61"/>
        <v/>
      </c>
      <c r="AD749" s="170" t="str">
        <f t="shared" si="62"/>
        <v/>
      </c>
    </row>
    <row r="750" spans="1:30" s="170" customFormat="1" ht="20.399999999999999">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59"/>
        <v/>
      </c>
      <c r="T750" s="155" t="str">
        <f ca="1">IF(B750="","",IF(ISERROR(MATCH($J750,SorP!$B$1:$B$6226,0)),"",INDIRECT("'SorP'!$A$"&amp;MATCH($S750&amp;$J750,SorP!C:C,0))))</f>
        <v/>
      </c>
      <c r="U750" s="168"/>
      <c r="V750" s="169" t="e">
        <f>IF(C750="",NA(),MATCH($B750&amp;$C750,'Smelter Look-up'!$J:$J,0))</f>
        <v>#N/A</v>
      </c>
      <c r="X750" s="170">
        <f t="shared" ca="1" si="58"/>
        <v>0</v>
      </c>
      <c r="AB750" s="313" t="str">
        <f t="shared" si="60"/>
        <v/>
      </c>
      <c r="AC750" s="170" t="str">
        <f t="shared" si="61"/>
        <v/>
      </c>
      <c r="AD750" s="170" t="str">
        <f t="shared" si="62"/>
        <v/>
      </c>
    </row>
    <row r="751" spans="1:30" s="170" customFormat="1" ht="20.399999999999999">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59"/>
        <v/>
      </c>
      <c r="T751" s="155" t="str">
        <f ca="1">IF(B751="","",IF(ISERROR(MATCH($J751,SorP!$B$1:$B$6226,0)),"",INDIRECT("'SorP'!$A$"&amp;MATCH($S751&amp;$J751,SorP!C:C,0))))</f>
        <v/>
      </c>
      <c r="U751" s="168"/>
      <c r="V751" s="169" t="e">
        <f>IF(C751="",NA(),MATCH($B751&amp;$C751,'Smelter Look-up'!$J:$J,0))</f>
        <v>#N/A</v>
      </c>
      <c r="X751" s="170">
        <f t="shared" ca="1" si="58"/>
        <v>0</v>
      </c>
      <c r="AB751" s="313" t="str">
        <f t="shared" si="60"/>
        <v/>
      </c>
      <c r="AC751" s="170" t="str">
        <f t="shared" si="61"/>
        <v/>
      </c>
      <c r="AD751" s="170" t="str">
        <f t="shared" si="62"/>
        <v/>
      </c>
    </row>
    <row r="752" spans="1:30" s="170" customFormat="1" ht="20.399999999999999">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59"/>
        <v/>
      </c>
      <c r="T752" s="155" t="str">
        <f ca="1">IF(B752="","",IF(ISERROR(MATCH($J752,SorP!$B$1:$B$6226,0)),"",INDIRECT("'SorP'!$A$"&amp;MATCH($S752&amp;$J752,SorP!C:C,0))))</f>
        <v/>
      </c>
      <c r="U752" s="168"/>
      <c r="V752" s="169" t="e">
        <f>IF(C752="",NA(),MATCH($B752&amp;$C752,'Smelter Look-up'!$J:$J,0))</f>
        <v>#N/A</v>
      </c>
      <c r="X752" s="170">
        <f t="shared" ca="1" si="58"/>
        <v>0</v>
      </c>
      <c r="AB752" s="313" t="str">
        <f t="shared" si="60"/>
        <v/>
      </c>
      <c r="AC752" s="170" t="str">
        <f t="shared" si="61"/>
        <v/>
      </c>
      <c r="AD752" s="170" t="str">
        <f t="shared" si="62"/>
        <v/>
      </c>
    </row>
    <row r="753" spans="1:30" s="170" customFormat="1" ht="20.399999999999999">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59"/>
        <v/>
      </c>
      <c r="T753" s="155" t="str">
        <f ca="1">IF(B753="","",IF(ISERROR(MATCH($J753,SorP!$B$1:$B$6226,0)),"",INDIRECT("'SorP'!$A$"&amp;MATCH($S753&amp;$J753,SorP!C:C,0))))</f>
        <v/>
      </c>
      <c r="U753" s="168"/>
      <c r="V753" s="169" t="e">
        <f>IF(C753="",NA(),MATCH($B753&amp;$C753,'Smelter Look-up'!$J:$J,0))</f>
        <v>#N/A</v>
      </c>
      <c r="X753" s="170">
        <f t="shared" ca="1" si="58"/>
        <v>0</v>
      </c>
      <c r="AB753" s="313" t="str">
        <f t="shared" si="60"/>
        <v/>
      </c>
      <c r="AC753" s="170" t="str">
        <f t="shared" si="61"/>
        <v/>
      </c>
      <c r="AD753" s="170" t="str">
        <f t="shared" si="62"/>
        <v/>
      </c>
    </row>
    <row r="754" spans="1:30" s="170" customFormat="1" ht="20.399999999999999">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59"/>
        <v/>
      </c>
      <c r="T754" s="155" t="str">
        <f ca="1">IF(B754="","",IF(ISERROR(MATCH($J754,SorP!$B$1:$B$6226,0)),"",INDIRECT("'SorP'!$A$"&amp;MATCH($S754&amp;$J754,SorP!C:C,0))))</f>
        <v/>
      </c>
      <c r="U754" s="168"/>
      <c r="V754" s="169" t="e">
        <f>IF(C754="",NA(),MATCH($B754&amp;$C754,'Smelter Look-up'!$J:$J,0))</f>
        <v>#N/A</v>
      </c>
      <c r="X754" s="170">
        <f t="shared" ca="1" si="58"/>
        <v>0</v>
      </c>
      <c r="AB754" s="313" t="str">
        <f t="shared" si="60"/>
        <v/>
      </c>
      <c r="AC754" s="170" t="str">
        <f t="shared" si="61"/>
        <v/>
      </c>
      <c r="AD754" s="170" t="str">
        <f t="shared" si="62"/>
        <v/>
      </c>
    </row>
    <row r="755" spans="1:30" s="170" customFormat="1" ht="20.399999999999999">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59"/>
        <v/>
      </c>
      <c r="T755" s="155" t="str">
        <f ca="1">IF(B755="","",IF(ISERROR(MATCH($J755,SorP!$B$1:$B$6226,0)),"",INDIRECT("'SorP'!$A$"&amp;MATCH($S755&amp;$J755,SorP!C:C,0))))</f>
        <v/>
      </c>
      <c r="U755" s="168"/>
      <c r="V755" s="169" t="e">
        <f>IF(C755="",NA(),MATCH($B755&amp;$C755,'Smelter Look-up'!$J:$J,0))</f>
        <v>#N/A</v>
      </c>
      <c r="X755" s="170">
        <f t="shared" ca="1" si="58"/>
        <v>0</v>
      </c>
      <c r="AB755" s="313" t="str">
        <f t="shared" si="60"/>
        <v/>
      </c>
      <c r="AC755" s="170" t="str">
        <f t="shared" si="61"/>
        <v/>
      </c>
      <c r="AD755" s="170" t="str">
        <f t="shared" si="62"/>
        <v/>
      </c>
    </row>
    <row r="756" spans="1:30" s="170" customFormat="1" ht="20.399999999999999">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59"/>
        <v/>
      </c>
      <c r="T756" s="155" t="str">
        <f ca="1">IF(B756="","",IF(ISERROR(MATCH($J756,SorP!$B$1:$B$6226,0)),"",INDIRECT("'SorP'!$A$"&amp;MATCH($S756&amp;$J756,SorP!C:C,0))))</f>
        <v/>
      </c>
      <c r="U756" s="168"/>
      <c r="V756" s="169" t="e">
        <f>IF(C756="",NA(),MATCH($B756&amp;$C756,'Smelter Look-up'!$J:$J,0))</f>
        <v>#N/A</v>
      </c>
      <c r="X756" s="170">
        <f t="shared" ca="1" si="58"/>
        <v>0</v>
      </c>
      <c r="AB756" s="313" t="str">
        <f t="shared" si="60"/>
        <v/>
      </c>
      <c r="AC756" s="170" t="str">
        <f t="shared" si="61"/>
        <v/>
      </c>
      <c r="AD756" s="170" t="str">
        <f t="shared" si="62"/>
        <v/>
      </c>
    </row>
    <row r="757" spans="1:30" s="170" customFormat="1" ht="20.399999999999999">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59"/>
        <v/>
      </c>
      <c r="T757" s="155" t="str">
        <f ca="1">IF(B757="","",IF(ISERROR(MATCH($J757,SorP!$B$1:$B$6226,0)),"",INDIRECT("'SorP'!$A$"&amp;MATCH($S757&amp;$J757,SorP!C:C,0))))</f>
        <v/>
      </c>
      <c r="U757" s="168"/>
      <c r="V757" s="169" t="e">
        <f>IF(C757="",NA(),MATCH($B757&amp;$C757,'Smelter Look-up'!$J:$J,0))</f>
        <v>#N/A</v>
      </c>
      <c r="X757" s="170">
        <f t="shared" ca="1" si="58"/>
        <v>0</v>
      </c>
      <c r="AB757" s="313" t="str">
        <f t="shared" si="60"/>
        <v/>
      </c>
      <c r="AC757" s="170" t="str">
        <f t="shared" si="61"/>
        <v/>
      </c>
      <c r="AD757" s="170" t="str">
        <f t="shared" si="62"/>
        <v/>
      </c>
    </row>
    <row r="758" spans="1:30" s="170" customFormat="1" ht="20.399999999999999">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59"/>
        <v/>
      </c>
      <c r="T758" s="155" t="str">
        <f ca="1">IF(B758="","",IF(ISERROR(MATCH($J758,SorP!$B$1:$B$6226,0)),"",INDIRECT("'SorP'!$A$"&amp;MATCH($S758&amp;$J758,SorP!C:C,0))))</f>
        <v/>
      </c>
      <c r="U758" s="168"/>
      <c r="V758" s="169" t="e">
        <f>IF(C758="",NA(),MATCH($B758&amp;$C758,'Smelter Look-up'!$J:$J,0))</f>
        <v>#N/A</v>
      </c>
      <c r="X758" s="170">
        <f t="shared" ca="1" si="58"/>
        <v>0</v>
      </c>
      <c r="AB758" s="313" t="str">
        <f t="shared" si="60"/>
        <v/>
      </c>
      <c r="AC758" s="170" t="str">
        <f t="shared" si="61"/>
        <v/>
      </c>
      <c r="AD758" s="170" t="str">
        <f t="shared" si="62"/>
        <v/>
      </c>
    </row>
    <row r="759" spans="1:30" s="170" customFormat="1" ht="20.399999999999999">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59"/>
        <v/>
      </c>
      <c r="T759" s="155" t="str">
        <f ca="1">IF(B759="","",IF(ISERROR(MATCH($J759,SorP!$B$1:$B$6226,0)),"",INDIRECT("'SorP'!$A$"&amp;MATCH($S759&amp;$J759,SorP!C:C,0))))</f>
        <v/>
      </c>
      <c r="U759" s="168"/>
      <c r="V759" s="169" t="e">
        <f>IF(C759="",NA(),MATCH($B759&amp;$C759,'Smelter Look-up'!$J:$J,0))</f>
        <v>#N/A</v>
      </c>
      <c r="X759" s="170">
        <f t="shared" ca="1" si="58"/>
        <v>0</v>
      </c>
      <c r="AB759" s="313" t="str">
        <f t="shared" si="60"/>
        <v/>
      </c>
      <c r="AC759" s="170" t="str">
        <f t="shared" si="61"/>
        <v/>
      </c>
      <c r="AD759" s="170" t="str">
        <f t="shared" si="62"/>
        <v/>
      </c>
    </row>
    <row r="760" spans="1:30" s="170" customFormat="1" ht="20.399999999999999">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59"/>
        <v/>
      </c>
      <c r="T760" s="155" t="str">
        <f ca="1">IF(B760="","",IF(ISERROR(MATCH($J760,SorP!$B$1:$B$6226,0)),"",INDIRECT("'SorP'!$A$"&amp;MATCH($S760&amp;$J760,SorP!C:C,0))))</f>
        <v/>
      </c>
      <c r="U760" s="168"/>
      <c r="V760" s="169" t="e">
        <f>IF(C760="",NA(),MATCH($B760&amp;$C760,'Smelter Look-up'!$J:$J,0))</f>
        <v>#N/A</v>
      </c>
      <c r="X760" s="170">
        <f t="shared" ca="1" si="58"/>
        <v>0</v>
      </c>
      <c r="AB760" s="313" t="str">
        <f t="shared" si="60"/>
        <v/>
      </c>
      <c r="AC760" s="170" t="str">
        <f t="shared" si="61"/>
        <v/>
      </c>
      <c r="AD760" s="170" t="str">
        <f t="shared" si="62"/>
        <v/>
      </c>
    </row>
    <row r="761" spans="1:30" s="170" customFormat="1" ht="20.399999999999999">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59"/>
        <v/>
      </c>
      <c r="T761" s="155" t="str">
        <f ca="1">IF(B761="","",IF(ISERROR(MATCH($J761,SorP!$B$1:$B$6226,0)),"",INDIRECT("'SorP'!$A$"&amp;MATCH($S761&amp;$J761,SorP!C:C,0))))</f>
        <v/>
      </c>
      <c r="U761" s="168"/>
      <c r="V761" s="169" t="e">
        <f>IF(C761="",NA(),MATCH($B761&amp;$C761,'Smelter Look-up'!$J:$J,0))</f>
        <v>#N/A</v>
      </c>
      <c r="X761" s="170">
        <f t="shared" ca="1" si="58"/>
        <v>0</v>
      </c>
      <c r="AB761" s="313" t="str">
        <f t="shared" si="60"/>
        <v/>
      </c>
      <c r="AC761" s="170" t="str">
        <f t="shared" si="61"/>
        <v/>
      </c>
      <c r="AD761" s="170" t="str">
        <f t="shared" si="62"/>
        <v/>
      </c>
    </row>
    <row r="762" spans="1:30" s="170" customFormat="1" ht="20.399999999999999">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59"/>
        <v/>
      </c>
      <c r="T762" s="155" t="str">
        <f ca="1">IF(B762="","",IF(ISERROR(MATCH($J762,SorP!$B$1:$B$6226,0)),"",INDIRECT("'SorP'!$A$"&amp;MATCH($S762&amp;$J762,SorP!C:C,0))))</f>
        <v/>
      </c>
      <c r="U762" s="168"/>
      <c r="V762" s="169" t="e">
        <f>IF(C762="",NA(),MATCH($B762&amp;$C762,'Smelter Look-up'!$J:$J,0))</f>
        <v>#N/A</v>
      </c>
      <c r="X762" s="170">
        <f t="shared" ca="1" si="58"/>
        <v>0</v>
      </c>
      <c r="AB762" s="313" t="str">
        <f t="shared" si="60"/>
        <v/>
      </c>
      <c r="AC762" s="170" t="str">
        <f t="shared" si="61"/>
        <v/>
      </c>
      <c r="AD762" s="170" t="str">
        <f t="shared" si="62"/>
        <v/>
      </c>
    </row>
    <row r="763" spans="1:30" s="170" customFormat="1" ht="20.399999999999999">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59"/>
        <v/>
      </c>
      <c r="T763" s="155" t="str">
        <f ca="1">IF(B763="","",IF(ISERROR(MATCH($J763,SorP!$B$1:$B$6226,0)),"",INDIRECT("'SorP'!$A$"&amp;MATCH($S763&amp;$J763,SorP!C:C,0))))</f>
        <v/>
      </c>
      <c r="U763" s="168"/>
      <c r="V763" s="169" t="e">
        <f>IF(C763="",NA(),MATCH($B763&amp;$C763,'Smelter Look-up'!$J:$J,0))</f>
        <v>#N/A</v>
      </c>
      <c r="X763" s="170">
        <f t="shared" ca="1" si="58"/>
        <v>0</v>
      </c>
      <c r="AB763" s="313" t="str">
        <f t="shared" si="60"/>
        <v/>
      </c>
      <c r="AC763" s="170" t="str">
        <f t="shared" si="61"/>
        <v/>
      </c>
      <c r="AD763" s="170" t="str">
        <f t="shared" si="62"/>
        <v/>
      </c>
    </row>
    <row r="764" spans="1:30" s="170" customFormat="1" ht="20.399999999999999">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59"/>
        <v/>
      </c>
      <c r="T764" s="155" t="str">
        <f ca="1">IF(B764="","",IF(ISERROR(MATCH($J764,SorP!$B$1:$B$6226,0)),"",INDIRECT("'SorP'!$A$"&amp;MATCH($S764&amp;$J764,SorP!C:C,0))))</f>
        <v/>
      </c>
      <c r="U764" s="168"/>
      <c r="V764" s="169" t="e">
        <f>IF(C764="",NA(),MATCH($B764&amp;$C764,'Smelter Look-up'!$J:$J,0))</f>
        <v>#N/A</v>
      </c>
      <c r="X764" s="170">
        <f t="shared" ca="1" si="58"/>
        <v>0</v>
      </c>
      <c r="AB764" s="313" t="str">
        <f t="shared" si="60"/>
        <v/>
      </c>
      <c r="AC764" s="170" t="str">
        <f t="shared" si="61"/>
        <v/>
      </c>
      <c r="AD764" s="170" t="str">
        <f t="shared" si="62"/>
        <v/>
      </c>
    </row>
    <row r="765" spans="1:30" s="170" customFormat="1" ht="20.399999999999999">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59"/>
        <v/>
      </c>
      <c r="T765" s="155" t="str">
        <f ca="1">IF(B765="","",IF(ISERROR(MATCH($J765,SorP!$B$1:$B$6226,0)),"",INDIRECT("'SorP'!$A$"&amp;MATCH($S765&amp;$J765,SorP!C:C,0))))</f>
        <v/>
      </c>
      <c r="U765" s="168"/>
      <c r="V765" s="169" t="e">
        <f>IF(C765="",NA(),MATCH($B765&amp;$C765,'Smelter Look-up'!$J:$J,0))</f>
        <v>#N/A</v>
      </c>
      <c r="X765" s="170">
        <f t="shared" ca="1" si="58"/>
        <v>0</v>
      </c>
      <c r="AB765" s="313" t="str">
        <f t="shared" si="60"/>
        <v/>
      </c>
      <c r="AC765" s="170" t="str">
        <f t="shared" si="61"/>
        <v/>
      </c>
      <c r="AD765" s="170" t="str">
        <f t="shared" si="62"/>
        <v/>
      </c>
    </row>
    <row r="766" spans="1:30" s="170" customFormat="1" ht="20.399999999999999">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59"/>
        <v/>
      </c>
      <c r="T766" s="155" t="str">
        <f ca="1">IF(B766="","",IF(ISERROR(MATCH($J766,SorP!$B$1:$B$6226,0)),"",INDIRECT("'SorP'!$A$"&amp;MATCH($S766&amp;$J766,SorP!C:C,0))))</f>
        <v/>
      </c>
      <c r="U766" s="168"/>
      <c r="V766" s="169" t="e">
        <f>IF(C766="",NA(),MATCH($B766&amp;$C766,'Smelter Look-up'!$J:$J,0))</f>
        <v>#N/A</v>
      </c>
      <c r="X766" s="170">
        <f t="shared" ca="1" si="58"/>
        <v>0</v>
      </c>
      <c r="AB766" s="313" t="str">
        <f t="shared" si="60"/>
        <v/>
      </c>
      <c r="AC766" s="170" t="str">
        <f t="shared" si="61"/>
        <v/>
      </c>
      <c r="AD766" s="170" t="str">
        <f t="shared" si="62"/>
        <v/>
      </c>
    </row>
    <row r="767" spans="1:30" s="170" customFormat="1" ht="20.399999999999999">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59"/>
        <v/>
      </c>
      <c r="T767" s="155" t="str">
        <f ca="1">IF(B767="","",IF(ISERROR(MATCH($J767,SorP!$B$1:$B$6226,0)),"",INDIRECT("'SorP'!$A$"&amp;MATCH($S767&amp;$J767,SorP!C:C,0))))</f>
        <v/>
      </c>
      <c r="U767" s="168"/>
      <c r="V767" s="169" t="e">
        <f>IF(C767="",NA(),MATCH($B767&amp;$C767,'Smelter Look-up'!$J:$J,0))</f>
        <v>#N/A</v>
      </c>
      <c r="X767" s="170">
        <f t="shared" ref="X767:X830" ca="1" si="63">IF(AND(C767="Smelter not listed",OR(LEN(D767)=0,LEN(E767)=0)),1,0)</f>
        <v>0</v>
      </c>
      <c r="AB767" s="313" t="str">
        <f t="shared" si="60"/>
        <v/>
      </c>
      <c r="AC767" s="170" t="str">
        <f t="shared" si="61"/>
        <v/>
      </c>
      <c r="AD767" s="170" t="str">
        <f t="shared" si="62"/>
        <v/>
      </c>
    </row>
    <row r="768" spans="1:30" s="170" customFormat="1" ht="20.399999999999999">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ref="S768:S831" ca="1" si="64">IF(B768="","",IF(ISERROR(MATCH($E768,CL,0)),"Unknown",INDIRECT("'C'!$A$"&amp;MATCH($E768,CL,0)+1)))</f>
        <v/>
      </c>
      <c r="T768" s="155" t="str">
        <f ca="1">IF(B768="","",IF(ISERROR(MATCH($J768,SorP!$B$1:$B$6226,0)),"",INDIRECT("'SorP'!$A$"&amp;MATCH($S768&amp;$J768,SorP!C:C,0))))</f>
        <v/>
      </c>
      <c r="U768" s="168"/>
      <c r="V768" s="169" t="e">
        <f>IF(C768="",NA(),MATCH($B768&amp;$C768,'Smelter Look-up'!$J:$J,0))</f>
        <v>#N/A</v>
      </c>
      <c r="X768" s="170">
        <f t="shared" ca="1" si="63"/>
        <v>0</v>
      </c>
      <c r="AB768" s="313" t="str">
        <f t="shared" si="60"/>
        <v/>
      </c>
      <c r="AC768" s="170" t="str">
        <f t="shared" si="61"/>
        <v/>
      </c>
      <c r="AD768" s="170" t="str">
        <f t="shared" si="62"/>
        <v/>
      </c>
    </row>
    <row r="769" spans="1:30" s="170" customFormat="1" ht="20.399999999999999">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64"/>
        <v/>
      </c>
      <c r="T769" s="155" t="str">
        <f ca="1">IF(B769="","",IF(ISERROR(MATCH($J769,SorP!$B$1:$B$6226,0)),"",INDIRECT("'SorP'!$A$"&amp;MATCH($S769&amp;$J769,SorP!C:C,0))))</f>
        <v/>
      </c>
      <c r="U769" s="168"/>
      <c r="V769" s="169" t="e">
        <f>IF(C769="",NA(),MATCH($B769&amp;$C769,'Smelter Look-up'!$J:$J,0))</f>
        <v>#N/A</v>
      </c>
      <c r="X769" s="170">
        <f t="shared" ca="1" si="63"/>
        <v>0</v>
      </c>
      <c r="AB769" s="313" t="str">
        <f t="shared" si="60"/>
        <v/>
      </c>
      <c r="AC769" s="170" t="str">
        <f t="shared" si="61"/>
        <v/>
      </c>
      <c r="AD769" s="170" t="str">
        <f t="shared" si="62"/>
        <v/>
      </c>
    </row>
    <row r="770" spans="1:30" s="170" customFormat="1" ht="20.399999999999999">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64"/>
        <v/>
      </c>
      <c r="T770" s="155" t="str">
        <f ca="1">IF(B770="","",IF(ISERROR(MATCH($J770,SorP!$B$1:$B$6226,0)),"",INDIRECT("'SorP'!$A$"&amp;MATCH($S770&amp;$J770,SorP!C:C,0))))</f>
        <v/>
      </c>
      <c r="U770" s="168"/>
      <c r="V770" s="169" t="e">
        <f>IF(C770="",NA(),MATCH($B770&amp;$C770,'Smelter Look-up'!$J:$J,0))</f>
        <v>#N/A</v>
      </c>
      <c r="X770" s="170">
        <f t="shared" ca="1" si="63"/>
        <v>0</v>
      </c>
      <c r="AB770" s="313" t="str">
        <f t="shared" si="60"/>
        <v/>
      </c>
      <c r="AC770" s="170" t="str">
        <f t="shared" si="61"/>
        <v/>
      </c>
      <c r="AD770" s="170" t="str">
        <f t="shared" si="62"/>
        <v/>
      </c>
    </row>
    <row r="771" spans="1:30" s="170" customFormat="1" ht="20.399999999999999">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64"/>
        <v/>
      </c>
      <c r="T771" s="155" t="str">
        <f ca="1">IF(B771="","",IF(ISERROR(MATCH($J771,SorP!$B$1:$B$6226,0)),"",INDIRECT("'SorP'!$A$"&amp;MATCH($S771&amp;$J771,SorP!C:C,0))))</f>
        <v/>
      </c>
      <c r="U771" s="168"/>
      <c r="V771" s="169" t="e">
        <f>IF(C771="",NA(),MATCH($B771&amp;$C771,'Smelter Look-up'!$J:$J,0))</f>
        <v>#N/A</v>
      </c>
      <c r="X771" s="170">
        <f t="shared" ca="1" si="63"/>
        <v>0</v>
      </c>
      <c r="AB771" s="313" t="str">
        <f t="shared" si="60"/>
        <v/>
      </c>
      <c r="AC771" s="170" t="str">
        <f t="shared" si="61"/>
        <v/>
      </c>
      <c r="AD771" s="170" t="str">
        <f t="shared" si="62"/>
        <v/>
      </c>
    </row>
    <row r="772" spans="1:30" s="170" customFormat="1" ht="20.399999999999999">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64"/>
        <v/>
      </c>
      <c r="T772" s="155" t="str">
        <f ca="1">IF(B772="","",IF(ISERROR(MATCH($J772,SorP!$B$1:$B$6226,0)),"",INDIRECT("'SorP'!$A$"&amp;MATCH($S772&amp;$J772,SorP!C:C,0))))</f>
        <v/>
      </c>
      <c r="U772" s="168"/>
      <c r="V772" s="169" t="e">
        <f>IF(C772="",NA(),MATCH($B772&amp;$C772,'Smelter Look-up'!$J:$J,0))</f>
        <v>#N/A</v>
      </c>
      <c r="X772" s="170">
        <f t="shared" ca="1" si="63"/>
        <v>0</v>
      </c>
      <c r="AB772" s="313" t="str">
        <f t="shared" si="60"/>
        <v/>
      </c>
      <c r="AC772" s="170" t="str">
        <f t="shared" si="61"/>
        <v/>
      </c>
      <c r="AD772" s="170" t="str">
        <f t="shared" si="62"/>
        <v/>
      </c>
    </row>
    <row r="773" spans="1:30" s="170" customFormat="1" ht="20.399999999999999">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64"/>
        <v/>
      </c>
      <c r="T773" s="155" t="str">
        <f ca="1">IF(B773="","",IF(ISERROR(MATCH($J773,SorP!$B$1:$B$6226,0)),"",INDIRECT("'SorP'!$A$"&amp;MATCH($S773&amp;$J773,SorP!C:C,0))))</f>
        <v/>
      </c>
      <c r="U773" s="168"/>
      <c r="V773" s="169" t="e">
        <f>IF(C773="",NA(),MATCH($B773&amp;$C773,'Smelter Look-up'!$J:$J,0))</f>
        <v>#N/A</v>
      </c>
      <c r="X773" s="170">
        <f t="shared" ca="1" si="63"/>
        <v>0</v>
      </c>
      <c r="AB773" s="313" t="str">
        <f t="shared" si="60"/>
        <v/>
      </c>
      <c r="AC773" s="170" t="str">
        <f t="shared" si="61"/>
        <v/>
      </c>
      <c r="AD773" s="170" t="str">
        <f t="shared" si="62"/>
        <v/>
      </c>
    </row>
    <row r="774" spans="1:30" s="170" customFormat="1" ht="20.399999999999999">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64"/>
        <v/>
      </c>
      <c r="T774" s="155" t="str">
        <f ca="1">IF(B774="","",IF(ISERROR(MATCH($J774,SorP!$B$1:$B$6226,0)),"",INDIRECT("'SorP'!$A$"&amp;MATCH($S774&amp;$J774,SorP!C:C,0))))</f>
        <v/>
      </c>
      <c r="U774" s="168"/>
      <c r="V774" s="169" t="e">
        <f>IF(C774="",NA(),MATCH($B774&amp;$C774,'Smelter Look-up'!$J:$J,0))</f>
        <v>#N/A</v>
      </c>
      <c r="X774" s="170">
        <f t="shared" ca="1" si="63"/>
        <v>0</v>
      </c>
      <c r="AB774" s="313" t="str">
        <f t="shared" ref="AB774:AB837" si="65">IF(C774="","",B774)</f>
        <v/>
      </c>
      <c r="AC774" s="170" t="str">
        <f t="shared" ref="AC774:AC837" si="66">B774</f>
        <v/>
      </c>
      <c r="AD774" s="170" t="str">
        <f t="shared" ref="AD774:AD837" si="67">IF(C774="Smelter not listed",D774,C774)</f>
        <v/>
      </c>
    </row>
    <row r="775" spans="1:30" s="170" customFormat="1" ht="20.399999999999999">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64"/>
        <v/>
      </c>
      <c r="T775" s="155" t="str">
        <f ca="1">IF(B775="","",IF(ISERROR(MATCH($J775,SorP!$B$1:$B$6226,0)),"",INDIRECT("'SorP'!$A$"&amp;MATCH($S775&amp;$J775,SorP!C:C,0))))</f>
        <v/>
      </c>
      <c r="U775" s="168"/>
      <c r="V775" s="169" t="e">
        <f>IF(C775="",NA(),MATCH($B775&amp;$C775,'Smelter Look-up'!$J:$J,0))</f>
        <v>#N/A</v>
      </c>
      <c r="X775" s="170">
        <f t="shared" ca="1" si="63"/>
        <v>0</v>
      </c>
      <c r="AB775" s="313" t="str">
        <f t="shared" si="65"/>
        <v/>
      </c>
      <c r="AC775" s="170" t="str">
        <f t="shared" si="66"/>
        <v/>
      </c>
      <c r="AD775" s="170" t="str">
        <f t="shared" si="67"/>
        <v/>
      </c>
    </row>
    <row r="776" spans="1:30" s="170" customFormat="1" ht="20.399999999999999">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64"/>
        <v/>
      </c>
      <c r="T776" s="155" t="str">
        <f ca="1">IF(B776="","",IF(ISERROR(MATCH($J776,SorP!$B$1:$B$6226,0)),"",INDIRECT("'SorP'!$A$"&amp;MATCH($S776&amp;$J776,SorP!C:C,0))))</f>
        <v/>
      </c>
      <c r="U776" s="168"/>
      <c r="V776" s="169" t="e">
        <f>IF(C776="",NA(),MATCH($B776&amp;$C776,'Smelter Look-up'!$J:$J,0))</f>
        <v>#N/A</v>
      </c>
      <c r="X776" s="170">
        <f t="shared" ca="1" si="63"/>
        <v>0</v>
      </c>
      <c r="AB776" s="313" t="str">
        <f t="shared" si="65"/>
        <v/>
      </c>
      <c r="AC776" s="170" t="str">
        <f t="shared" si="66"/>
        <v/>
      </c>
      <c r="AD776" s="170" t="str">
        <f t="shared" si="67"/>
        <v/>
      </c>
    </row>
    <row r="777" spans="1:30" s="170" customFormat="1" ht="20.399999999999999">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64"/>
        <v/>
      </c>
      <c r="T777" s="155" t="str">
        <f ca="1">IF(B777="","",IF(ISERROR(MATCH($J777,SorP!$B$1:$B$6226,0)),"",INDIRECT("'SorP'!$A$"&amp;MATCH($S777&amp;$J777,SorP!C:C,0))))</f>
        <v/>
      </c>
      <c r="U777" s="168"/>
      <c r="V777" s="169" t="e">
        <f>IF(C777="",NA(),MATCH($B777&amp;$C777,'Smelter Look-up'!$J:$J,0))</f>
        <v>#N/A</v>
      </c>
      <c r="X777" s="170">
        <f t="shared" ca="1" si="63"/>
        <v>0</v>
      </c>
      <c r="AB777" s="313" t="str">
        <f t="shared" si="65"/>
        <v/>
      </c>
      <c r="AC777" s="170" t="str">
        <f t="shared" si="66"/>
        <v/>
      </c>
      <c r="AD777" s="170" t="str">
        <f t="shared" si="67"/>
        <v/>
      </c>
    </row>
    <row r="778" spans="1:30" s="170" customFormat="1" ht="20.399999999999999">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64"/>
        <v/>
      </c>
      <c r="T778" s="155" t="str">
        <f ca="1">IF(B778="","",IF(ISERROR(MATCH($J778,SorP!$B$1:$B$6226,0)),"",INDIRECT("'SorP'!$A$"&amp;MATCH($S778&amp;$J778,SorP!C:C,0))))</f>
        <v/>
      </c>
      <c r="U778" s="168"/>
      <c r="V778" s="169" t="e">
        <f>IF(C778="",NA(),MATCH($B778&amp;$C778,'Smelter Look-up'!$J:$J,0))</f>
        <v>#N/A</v>
      </c>
      <c r="X778" s="170">
        <f t="shared" ca="1" si="63"/>
        <v>0</v>
      </c>
      <c r="AB778" s="313" t="str">
        <f t="shared" si="65"/>
        <v/>
      </c>
      <c r="AC778" s="170" t="str">
        <f t="shared" si="66"/>
        <v/>
      </c>
      <c r="AD778" s="170" t="str">
        <f t="shared" si="67"/>
        <v/>
      </c>
    </row>
    <row r="779" spans="1:30" s="170" customFormat="1" ht="20.399999999999999">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64"/>
        <v/>
      </c>
      <c r="T779" s="155" t="str">
        <f ca="1">IF(B779="","",IF(ISERROR(MATCH($J779,SorP!$B$1:$B$6226,0)),"",INDIRECT("'SorP'!$A$"&amp;MATCH($S779&amp;$J779,SorP!C:C,0))))</f>
        <v/>
      </c>
      <c r="U779" s="168"/>
      <c r="V779" s="169" t="e">
        <f>IF(C779="",NA(),MATCH($B779&amp;$C779,'Smelter Look-up'!$J:$J,0))</f>
        <v>#N/A</v>
      </c>
      <c r="X779" s="170">
        <f t="shared" ca="1" si="63"/>
        <v>0</v>
      </c>
      <c r="AB779" s="313" t="str">
        <f t="shared" si="65"/>
        <v/>
      </c>
      <c r="AC779" s="170" t="str">
        <f t="shared" si="66"/>
        <v/>
      </c>
      <c r="AD779" s="170" t="str">
        <f t="shared" si="67"/>
        <v/>
      </c>
    </row>
    <row r="780" spans="1:30" s="170" customFormat="1" ht="20.399999999999999">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64"/>
        <v/>
      </c>
      <c r="T780" s="155" t="str">
        <f ca="1">IF(B780="","",IF(ISERROR(MATCH($J780,SorP!$B$1:$B$6226,0)),"",INDIRECT("'SorP'!$A$"&amp;MATCH($S780&amp;$J780,SorP!C:C,0))))</f>
        <v/>
      </c>
      <c r="U780" s="168"/>
      <c r="V780" s="169" t="e">
        <f>IF(C780="",NA(),MATCH($B780&amp;$C780,'Smelter Look-up'!$J:$J,0))</f>
        <v>#N/A</v>
      </c>
      <c r="X780" s="170">
        <f t="shared" ca="1" si="63"/>
        <v>0</v>
      </c>
      <c r="AB780" s="313" t="str">
        <f t="shared" si="65"/>
        <v/>
      </c>
      <c r="AC780" s="170" t="str">
        <f t="shared" si="66"/>
        <v/>
      </c>
      <c r="AD780" s="170" t="str">
        <f t="shared" si="67"/>
        <v/>
      </c>
    </row>
    <row r="781" spans="1:30" s="170" customFormat="1" ht="20.399999999999999">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64"/>
        <v/>
      </c>
      <c r="T781" s="155" t="str">
        <f ca="1">IF(B781="","",IF(ISERROR(MATCH($J781,SorP!$B$1:$B$6226,0)),"",INDIRECT("'SorP'!$A$"&amp;MATCH($S781&amp;$J781,SorP!C:C,0))))</f>
        <v/>
      </c>
      <c r="U781" s="168"/>
      <c r="V781" s="169" t="e">
        <f>IF(C781="",NA(),MATCH($B781&amp;$C781,'Smelter Look-up'!$J:$J,0))</f>
        <v>#N/A</v>
      </c>
      <c r="X781" s="170">
        <f t="shared" ca="1" si="63"/>
        <v>0</v>
      </c>
      <c r="AB781" s="313" t="str">
        <f t="shared" si="65"/>
        <v/>
      </c>
      <c r="AC781" s="170" t="str">
        <f t="shared" si="66"/>
        <v/>
      </c>
      <c r="AD781" s="170" t="str">
        <f t="shared" si="67"/>
        <v/>
      </c>
    </row>
    <row r="782" spans="1:30" s="170" customFormat="1" ht="20.399999999999999">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64"/>
        <v/>
      </c>
      <c r="T782" s="155" t="str">
        <f ca="1">IF(B782="","",IF(ISERROR(MATCH($J782,SorP!$B$1:$B$6226,0)),"",INDIRECT("'SorP'!$A$"&amp;MATCH($S782&amp;$J782,SorP!C:C,0))))</f>
        <v/>
      </c>
      <c r="U782" s="168"/>
      <c r="V782" s="169" t="e">
        <f>IF(C782="",NA(),MATCH($B782&amp;$C782,'Smelter Look-up'!$J:$J,0))</f>
        <v>#N/A</v>
      </c>
      <c r="X782" s="170">
        <f t="shared" ca="1" si="63"/>
        <v>0</v>
      </c>
      <c r="AB782" s="313" t="str">
        <f t="shared" si="65"/>
        <v/>
      </c>
      <c r="AC782" s="170" t="str">
        <f t="shared" si="66"/>
        <v/>
      </c>
      <c r="AD782" s="170" t="str">
        <f t="shared" si="67"/>
        <v/>
      </c>
    </row>
    <row r="783" spans="1:30" s="170" customFormat="1" ht="20.399999999999999">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64"/>
        <v/>
      </c>
      <c r="T783" s="155" t="str">
        <f ca="1">IF(B783="","",IF(ISERROR(MATCH($J783,SorP!$B$1:$B$6226,0)),"",INDIRECT("'SorP'!$A$"&amp;MATCH($S783&amp;$J783,SorP!C:C,0))))</f>
        <v/>
      </c>
      <c r="U783" s="168"/>
      <c r="V783" s="169" t="e">
        <f>IF(C783="",NA(),MATCH($B783&amp;$C783,'Smelter Look-up'!$J:$J,0))</f>
        <v>#N/A</v>
      </c>
      <c r="X783" s="170">
        <f t="shared" ca="1" si="63"/>
        <v>0</v>
      </c>
      <c r="AB783" s="313" t="str">
        <f t="shared" si="65"/>
        <v/>
      </c>
      <c r="AC783" s="170" t="str">
        <f t="shared" si="66"/>
        <v/>
      </c>
      <c r="AD783" s="170" t="str">
        <f t="shared" si="67"/>
        <v/>
      </c>
    </row>
    <row r="784" spans="1:30" s="170" customFormat="1" ht="20.399999999999999">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64"/>
        <v/>
      </c>
      <c r="T784" s="155" t="str">
        <f ca="1">IF(B784="","",IF(ISERROR(MATCH($J784,SorP!$B$1:$B$6226,0)),"",INDIRECT("'SorP'!$A$"&amp;MATCH($S784&amp;$J784,SorP!C:C,0))))</f>
        <v/>
      </c>
      <c r="U784" s="168"/>
      <c r="V784" s="169" t="e">
        <f>IF(C784="",NA(),MATCH($B784&amp;$C784,'Smelter Look-up'!$J:$J,0))</f>
        <v>#N/A</v>
      </c>
      <c r="X784" s="170">
        <f t="shared" ca="1" si="63"/>
        <v>0</v>
      </c>
      <c r="AB784" s="313" t="str">
        <f t="shared" si="65"/>
        <v/>
      </c>
      <c r="AC784" s="170" t="str">
        <f t="shared" si="66"/>
        <v/>
      </c>
      <c r="AD784" s="170" t="str">
        <f t="shared" si="67"/>
        <v/>
      </c>
    </row>
    <row r="785" spans="1:30" s="170" customFormat="1" ht="20.399999999999999">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64"/>
        <v/>
      </c>
      <c r="T785" s="155" t="str">
        <f ca="1">IF(B785="","",IF(ISERROR(MATCH($J785,SorP!$B$1:$B$6226,0)),"",INDIRECT("'SorP'!$A$"&amp;MATCH($S785&amp;$J785,SorP!C:C,0))))</f>
        <v/>
      </c>
      <c r="U785" s="168"/>
      <c r="V785" s="169" t="e">
        <f>IF(C785="",NA(),MATCH($B785&amp;$C785,'Smelter Look-up'!$J:$J,0))</f>
        <v>#N/A</v>
      </c>
      <c r="X785" s="170">
        <f t="shared" ca="1" si="63"/>
        <v>0</v>
      </c>
      <c r="AB785" s="313" t="str">
        <f t="shared" si="65"/>
        <v/>
      </c>
      <c r="AC785" s="170" t="str">
        <f t="shared" si="66"/>
        <v/>
      </c>
      <c r="AD785" s="170" t="str">
        <f t="shared" si="67"/>
        <v/>
      </c>
    </row>
    <row r="786" spans="1:30" s="170" customFormat="1" ht="20.399999999999999">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64"/>
        <v/>
      </c>
      <c r="T786" s="155" t="str">
        <f ca="1">IF(B786="","",IF(ISERROR(MATCH($J786,SorP!$B$1:$B$6226,0)),"",INDIRECT("'SorP'!$A$"&amp;MATCH($S786&amp;$J786,SorP!C:C,0))))</f>
        <v/>
      </c>
      <c r="U786" s="168"/>
      <c r="V786" s="169" t="e">
        <f>IF(C786="",NA(),MATCH($B786&amp;$C786,'Smelter Look-up'!$J:$J,0))</f>
        <v>#N/A</v>
      </c>
      <c r="X786" s="170">
        <f t="shared" ca="1" si="63"/>
        <v>0</v>
      </c>
      <c r="AB786" s="313" t="str">
        <f t="shared" si="65"/>
        <v/>
      </c>
      <c r="AC786" s="170" t="str">
        <f t="shared" si="66"/>
        <v/>
      </c>
      <c r="AD786" s="170" t="str">
        <f t="shared" si="67"/>
        <v/>
      </c>
    </row>
    <row r="787" spans="1:30" s="170" customFormat="1" ht="20.399999999999999">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64"/>
        <v/>
      </c>
      <c r="T787" s="155" t="str">
        <f ca="1">IF(B787="","",IF(ISERROR(MATCH($J787,SorP!$B$1:$B$6226,0)),"",INDIRECT("'SorP'!$A$"&amp;MATCH($S787&amp;$J787,SorP!C:C,0))))</f>
        <v/>
      </c>
      <c r="U787" s="168"/>
      <c r="V787" s="169" t="e">
        <f>IF(C787="",NA(),MATCH($B787&amp;$C787,'Smelter Look-up'!$J:$J,0))</f>
        <v>#N/A</v>
      </c>
      <c r="X787" s="170">
        <f t="shared" ca="1" si="63"/>
        <v>0</v>
      </c>
      <c r="AB787" s="313" t="str">
        <f t="shared" si="65"/>
        <v/>
      </c>
      <c r="AC787" s="170" t="str">
        <f t="shared" si="66"/>
        <v/>
      </c>
      <c r="AD787" s="170" t="str">
        <f t="shared" si="67"/>
        <v/>
      </c>
    </row>
    <row r="788" spans="1:30" s="170" customFormat="1" ht="20.399999999999999">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64"/>
        <v/>
      </c>
      <c r="T788" s="155" t="str">
        <f ca="1">IF(B788="","",IF(ISERROR(MATCH($J788,SorP!$B$1:$B$6226,0)),"",INDIRECT("'SorP'!$A$"&amp;MATCH($S788&amp;$J788,SorP!C:C,0))))</f>
        <v/>
      </c>
      <c r="U788" s="168"/>
      <c r="V788" s="169" t="e">
        <f>IF(C788="",NA(),MATCH($B788&amp;$C788,'Smelter Look-up'!$J:$J,0))</f>
        <v>#N/A</v>
      </c>
      <c r="X788" s="170">
        <f t="shared" ca="1" si="63"/>
        <v>0</v>
      </c>
      <c r="AB788" s="313" t="str">
        <f t="shared" si="65"/>
        <v/>
      </c>
      <c r="AC788" s="170" t="str">
        <f t="shared" si="66"/>
        <v/>
      </c>
      <c r="AD788" s="170" t="str">
        <f t="shared" si="67"/>
        <v/>
      </c>
    </row>
    <row r="789" spans="1:30" s="170" customFormat="1" ht="20.399999999999999">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64"/>
        <v/>
      </c>
      <c r="T789" s="155" t="str">
        <f ca="1">IF(B789="","",IF(ISERROR(MATCH($J789,SorP!$B$1:$B$6226,0)),"",INDIRECT("'SorP'!$A$"&amp;MATCH($S789&amp;$J789,SorP!C:C,0))))</f>
        <v/>
      </c>
      <c r="U789" s="168"/>
      <c r="V789" s="169" t="e">
        <f>IF(C789="",NA(),MATCH($B789&amp;$C789,'Smelter Look-up'!$J:$J,0))</f>
        <v>#N/A</v>
      </c>
      <c r="X789" s="170">
        <f t="shared" ca="1" si="63"/>
        <v>0</v>
      </c>
      <c r="AB789" s="313" t="str">
        <f t="shared" si="65"/>
        <v/>
      </c>
      <c r="AC789" s="170" t="str">
        <f t="shared" si="66"/>
        <v/>
      </c>
      <c r="AD789" s="170" t="str">
        <f t="shared" si="67"/>
        <v/>
      </c>
    </row>
    <row r="790" spans="1:30" s="170" customFormat="1" ht="20.399999999999999">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64"/>
        <v/>
      </c>
      <c r="T790" s="155" t="str">
        <f ca="1">IF(B790="","",IF(ISERROR(MATCH($J790,SorP!$B$1:$B$6226,0)),"",INDIRECT("'SorP'!$A$"&amp;MATCH($S790&amp;$J790,SorP!C:C,0))))</f>
        <v/>
      </c>
      <c r="U790" s="168"/>
      <c r="V790" s="169" t="e">
        <f>IF(C790="",NA(),MATCH($B790&amp;$C790,'Smelter Look-up'!$J:$J,0))</f>
        <v>#N/A</v>
      </c>
      <c r="X790" s="170">
        <f t="shared" ca="1" si="63"/>
        <v>0</v>
      </c>
      <c r="AB790" s="313" t="str">
        <f t="shared" si="65"/>
        <v/>
      </c>
      <c r="AC790" s="170" t="str">
        <f t="shared" si="66"/>
        <v/>
      </c>
      <c r="AD790" s="170" t="str">
        <f t="shared" si="67"/>
        <v/>
      </c>
    </row>
    <row r="791" spans="1:30" s="170" customFormat="1" ht="20.399999999999999">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64"/>
        <v/>
      </c>
      <c r="T791" s="155" t="str">
        <f ca="1">IF(B791="","",IF(ISERROR(MATCH($J791,SorP!$B$1:$B$6226,0)),"",INDIRECT("'SorP'!$A$"&amp;MATCH($S791&amp;$J791,SorP!C:C,0))))</f>
        <v/>
      </c>
      <c r="U791" s="168"/>
      <c r="V791" s="169" t="e">
        <f>IF(C791="",NA(),MATCH($B791&amp;$C791,'Smelter Look-up'!$J:$J,0))</f>
        <v>#N/A</v>
      </c>
      <c r="X791" s="170">
        <f t="shared" ca="1" si="63"/>
        <v>0</v>
      </c>
      <c r="AB791" s="313" t="str">
        <f t="shared" si="65"/>
        <v/>
      </c>
      <c r="AC791" s="170" t="str">
        <f t="shared" si="66"/>
        <v/>
      </c>
      <c r="AD791" s="170" t="str">
        <f t="shared" si="67"/>
        <v/>
      </c>
    </row>
    <row r="792" spans="1:30" s="170" customFormat="1" ht="20.399999999999999">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64"/>
        <v/>
      </c>
      <c r="T792" s="155" t="str">
        <f ca="1">IF(B792="","",IF(ISERROR(MATCH($J792,SorP!$B$1:$B$6226,0)),"",INDIRECT("'SorP'!$A$"&amp;MATCH($S792&amp;$J792,SorP!C:C,0))))</f>
        <v/>
      </c>
      <c r="U792" s="168"/>
      <c r="V792" s="169" t="e">
        <f>IF(C792="",NA(),MATCH($B792&amp;$C792,'Smelter Look-up'!$J:$J,0))</f>
        <v>#N/A</v>
      </c>
      <c r="X792" s="170">
        <f t="shared" ca="1" si="63"/>
        <v>0</v>
      </c>
      <c r="AB792" s="313" t="str">
        <f t="shared" si="65"/>
        <v/>
      </c>
      <c r="AC792" s="170" t="str">
        <f t="shared" si="66"/>
        <v/>
      </c>
      <c r="AD792" s="170" t="str">
        <f t="shared" si="67"/>
        <v/>
      </c>
    </row>
    <row r="793" spans="1:30" s="170" customFormat="1" ht="20.399999999999999">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64"/>
        <v/>
      </c>
      <c r="T793" s="155" t="str">
        <f ca="1">IF(B793="","",IF(ISERROR(MATCH($J793,SorP!$B$1:$B$6226,0)),"",INDIRECT("'SorP'!$A$"&amp;MATCH($S793&amp;$J793,SorP!C:C,0))))</f>
        <v/>
      </c>
      <c r="U793" s="168"/>
      <c r="V793" s="169" t="e">
        <f>IF(C793="",NA(),MATCH($B793&amp;$C793,'Smelter Look-up'!$J:$J,0))</f>
        <v>#N/A</v>
      </c>
      <c r="X793" s="170">
        <f t="shared" ca="1" si="63"/>
        <v>0</v>
      </c>
      <c r="AB793" s="313" t="str">
        <f t="shared" si="65"/>
        <v/>
      </c>
      <c r="AC793" s="170" t="str">
        <f t="shared" si="66"/>
        <v/>
      </c>
      <c r="AD793" s="170" t="str">
        <f t="shared" si="67"/>
        <v/>
      </c>
    </row>
    <row r="794" spans="1:30" s="170" customFormat="1" ht="20.399999999999999">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64"/>
        <v/>
      </c>
      <c r="T794" s="155" t="str">
        <f ca="1">IF(B794="","",IF(ISERROR(MATCH($J794,SorP!$B$1:$B$6226,0)),"",INDIRECT("'SorP'!$A$"&amp;MATCH($S794&amp;$J794,SorP!C:C,0))))</f>
        <v/>
      </c>
      <c r="U794" s="168"/>
      <c r="V794" s="169" t="e">
        <f>IF(C794="",NA(),MATCH($B794&amp;$C794,'Smelter Look-up'!$J:$J,0))</f>
        <v>#N/A</v>
      </c>
      <c r="X794" s="170">
        <f t="shared" ca="1" si="63"/>
        <v>0</v>
      </c>
      <c r="AB794" s="313" t="str">
        <f t="shared" si="65"/>
        <v/>
      </c>
      <c r="AC794" s="170" t="str">
        <f t="shared" si="66"/>
        <v/>
      </c>
      <c r="AD794" s="170" t="str">
        <f t="shared" si="67"/>
        <v/>
      </c>
    </row>
    <row r="795" spans="1:30" s="170" customFormat="1" ht="20.399999999999999">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64"/>
        <v/>
      </c>
      <c r="T795" s="155" t="str">
        <f ca="1">IF(B795="","",IF(ISERROR(MATCH($J795,SorP!$B$1:$B$6226,0)),"",INDIRECT("'SorP'!$A$"&amp;MATCH($S795&amp;$J795,SorP!C:C,0))))</f>
        <v/>
      </c>
      <c r="U795" s="168"/>
      <c r="V795" s="169" t="e">
        <f>IF(C795="",NA(),MATCH($B795&amp;$C795,'Smelter Look-up'!$J:$J,0))</f>
        <v>#N/A</v>
      </c>
      <c r="X795" s="170">
        <f t="shared" ca="1" si="63"/>
        <v>0</v>
      </c>
      <c r="AB795" s="313" t="str">
        <f t="shared" si="65"/>
        <v/>
      </c>
      <c r="AC795" s="170" t="str">
        <f t="shared" si="66"/>
        <v/>
      </c>
      <c r="AD795" s="170" t="str">
        <f t="shared" si="67"/>
        <v/>
      </c>
    </row>
    <row r="796" spans="1:30" s="170" customFormat="1" ht="20.399999999999999">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64"/>
        <v/>
      </c>
      <c r="T796" s="155" t="str">
        <f ca="1">IF(B796="","",IF(ISERROR(MATCH($J796,SorP!$B$1:$B$6226,0)),"",INDIRECT("'SorP'!$A$"&amp;MATCH($S796&amp;$J796,SorP!C:C,0))))</f>
        <v/>
      </c>
      <c r="U796" s="168"/>
      <c r="V796" s="169" t="e">
        <f>IF(C796="",NA(),MATCH($B796&amp;$C796,'Smelter Look-up'!$J:$J,0))</f>
        <v>#N/A</v>
      </c>
      <c r="X796" s="170">
        <f t="shared" ca="1" si="63"/>
        <v>0</v>
      </c>
      <c r="AB796" s="313" t="str">
        <f t="shared" si="65"/>
        <v/>
      </c>
      <c r="AC796" s="170" t="str">
        <f t="shared" si="66"/>
        <v/>
      </c>
      <c r="AD796" s="170" t="str">
        <f t="shared" si="67"/>
        <v/>
      </c>
    </row>
    <row r="797" spans="1:30" s="170" customFormat="1" ht="20.399999999999999">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64"/>
        <v/>
      </c>
      <c r="T797" s="155" t="str">
        <f ca="1">IF(B797="","",IF(ISERROR(MATCH($J797,SorP!$B$1:$B$6226,0)),"",INDIRECT("'SorP'!$A$"&amp;MATCH($S797&amp;$J797,SorP!C:C,0))))</f>
        <v/>
      </c>
      <c r="U797" s="168"/>
      <c r="V797" s="169" t="e">
        <f>IF(C797="",NA(),MATCH($B797&amp;$C797,'Smelter Look-up'!$J:$J,0))</f>
        <v>#N/A</v>
      </c>
      <c r="X797" s="170">
        <f t="shared" ca="1" si="63"/>
        <v>0</v>
      </c>
      <c r="AB797" s="313" t="str">
        <f t="shared" si="65"/>
        <v/>
      </c>
      <c r="AC797" s="170" t="str">
        <f t="shared" si="66"/>
        <v/>
      </c>
      <c r="AD797" s="170" t="str">
        <f t="shared" si="67"/>
        <v/>
      </c>
    </row>
    <row r="798" spans="1:30" s="170" customFormat="1" ht="20.399999999999999">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64"/>
        <v/>
      </c>
      <c r="T798" s="155" t="str">
        <f ca="1">IF(B798="","",IF(ISERROR(MATCH($J798,SorP!$B$1:$B$6226,0)),"",INDIRECT("'SorP'!$A$"&amp;MATCH($S798&amp;$J798,SorP!C:C,0))))</f>
        <v/>
      </c>
      <c r="U798" s="168"/>
      <c r="V798" s="169" t="e">
        <f>IF(C798="",NA(),MATCH($B798&amp;$C798,'Smelter Look-up'!$J:$J,0))</f>
        <v>#N/A</v>
      </c>
      <c r="X798" s="170">
        <f t="shared" ca="1" si="63"/>
        <v>0</v>
      </c>
      <c r="AB798" s="313" t="str">
        <f t="shared" si="65"/>
        <v/>
      </c>
      <c r="AC798" s="170" t="str">
        <f t="shared" si="66"/>
        <v/>
      </c>
      <c r="AD798" s="170" t="str">
        <f t="shared" si="67"/>
        <v/>
      </c>
    </row>
    <row r="799" spans="1:30" s="170" customFormat="1" ht="20.399999999999999">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64"/>
        <v/>
      </c>
      <c r="T799" s="155" t="str">
        <f ca="1">IF(B799="","",IF(ISERROR(MATCH($J799,SorP!$B$1:$B$6226,0)),"",INDIRECT("'SorP'!$A$"&amp;MATCH($S799&amp;$J799,SorP!C:C,0))))</f>
        <v/>
      </c>
      <c r="U799" s="168"/>
      <c r="V799" s="169" t="e">
        <f>IF(C799="",NA(),MATCH($B799&amp;$C799,'Smelter Look-up'!$J:$J,0))</f>
        <v>#N/A</v>
      </c>
      <c r="X799" s="170">
        <f t="shared" ca="1" si="63"/>
        <v>0</v>
      </c>
      <c r="AB799" s="313" t="str">
        <f t="shared" si="65"/>
        <v/>
      </c>
      <c r="AC799" s="170" t="str">
        <f t="shared" si="66"/>
        <v/>
      </c>
      <c r="AD799" s="170" t="str">
        <f t="shared" si="67"/>
        <v/>
      </c>
    </row>
    <row r="800" spans="1:30" s="170" customFormat="1" ht="20.399999999999999">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64"/>
        <v/>
      </c>
      <c r="T800" s="155" t="str">
        <f ca="1">IF(B800="","",IF(ISERROR(MATCH($J800,SorP!$B$1:$B$6226,0)),"",INDIRECT("'SorP'!$A$"&amp;MATCH($S800&amp;$J800,SorP!C:C,0))))</f>
        <v/>
      </c>
      <c r="U800" s="168"/>
      <c r="V800" s="169" t="e">
        <f>IF(C800="",NA(),MATCH($B800&amp;$C800,'Smelter Look-up'!$J:$J,0))</f>
        <v>#N/A</v>
      </c>
      <c r="X800" s="170">
        <f t="shared" ca="1" si="63"/>
        <v>0</v>
      </c>
      <c r="AB800" s="313" t="str">
        <f t="shared" si="65"/>
        <v/>
      </c>
      <c r="AC800" s="170" t="str">
        <f t="shared" si="66"/>
        <v/>
      </c>
      <c r="AD800" s="170" t="str">
        <f t="shared" si="67"/>
        <v/>
      </c>
    </row>
    <row r="801" spans="1:30" s="170" customFormat="1" ht="20.399999999999999">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64"/>
        <v/>
      </c>
      <c r="T801" s="155" t="str">
        <f ca="1">IF(B801="","",IF(ISERROR(MATCH($J801,SorP!$B$1:$B$6226,0)),"",INDIRECT("'SorP'!$A$"&amp;MATCH($S801&amp;$J801,SorP!C:C,0))))</f>
        <v/>
      </c>
      <c r="U801" s="168"/>
      <c r="V801" s="169" t="e">
        <f>IF(C801="",NA(),MATCH($B801&amp;$C801,'Smelter Look-up'!$J:$J,0))</f>
        <v>#N/A</v>
      </c>
      <c r="X801" s="170">
        <f t="shared" ca="1" si="63"/>
        <v>0</v>
      </c>
      <c r="AB801" s="313" t="str">
        <f t="shared" si="65"/>
        <v/>
      </c>
      <c r="AC801" s="170" t="str">
        <f t="shared" si="66"/>
        <v/>
      </c>
      <c r="AD801" s="170" t="str">
        <f t="shared" si="67"/>
        <v/>
      </c>
    </row>
    <row r="802" spans="1:30" s="170" customFormat="1" ht="20.399999999999999">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64"/>
        <v/>
      </c>
      <c r="T802" s="155" t="str">
        <f ca="1">IF(B802="","",IF(ISERROR(MATCH($J802,SorP!$B$1:$B$6226,0)),"",INDIRECT("'SorP'!$A$"&amp;MATCH($S802&amp;$J802,SorP!C:C,0))))</f>
        <v/>
      </c>
      <c r="U802" s="168"/>
      <c r="V802" s="169" t="e">
        <f>IF(C802="",NA(),MATCH($B802&amp;$C802,'Smelter Look-up'!$J:$J,0))</f>
        <v>#N/A</v>
      </c>
      <c r="X802" s="170">
        <f t="shared" ca="1" si="63"/>
        <v>0</v>
      </c>
      <c r="AB802" s="313" t="str">
        <f t="shared" si="65"/>
        <v/>
      </c>
      <c r="AC802" s="170" t="str">
        <f t="shared" si="66"/>
        <v/>
      </c>
      <c r="AD802" s="170" t="str">
        <f t="shared" si="67"/>
        <v/>
      </c>
    </row>
    <row r="803" spans="1:30" s="170" customFormat="1" ht="20.399999999999999">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64"/>
        <v/>
      </c>
      <c r="T803" s="155" t="str">
        <f ca="1">IF(B803="","",IF(ISERROR(MATCH($J803,SorP!$B$1:$B$6226,0)),"",INDIRECT("'SorP'!$A$"&amp;MATCH($S803&amp;$J803,SorP!C:C,0))))</f>
        <v/>
      </c>
      <c r="U803" s="168"/>
      <c r="V803" s="169" t="e">
        <f>IF(C803="",NA(),MATCH($B803&amp;$C803,'Smelter Look-up'!$J:$J,0))</f>
        <v>#N/A</v>
      </c>
      <c r="X803" s="170">
        <f t="shared" ca="1" si="63"/>
        <v>0</v>
      </c>
      <c r="AB803" s="313" t="str">
        <f t="shared" si="65"/>
        <v/>
      </c>
      <c r="AC803" s="170" t="str">
        <f t="shared" si="66"/>
        <v/>
      </c>
      <c r="AD803" s="170" t="str">
        <f t="shared" si="67"/>
        <v/>
      </c>
    </row>
    <row r="804" spans="1:30" s="170" customFormat="1" ht="20.399999999999999">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64"/>
        <v/>
      </c>
      <c r="T804" s="155" t="str">
        <f ca="1">IF(B804="","",IF(ISERROR(MATCH($J804,SorP!$B$1:$B$6226,0)),"",INDIRECT("'SorP'!$A$"&amp;MATCH($S804&amp;$J804,SorP!C:C,0))))</f>
        <v/>
      </c>
      <c r="U804" s="168"/>
      <c r="V804" s="169" t="e">
        <f>IF(C804="",NA(),MATCH($B804&amp;$C804,'Smelter Look-up'!$J:$J,0))</f>
        <v>#N/A</v>
      </c>
      <c r="X804" s="170">
        <f t="shared" ca="1" si="63"/>
        <v>0</v>
      </c>
      <c r="AB804" s="313" t="str">
        <f t="shared" si="65"/>
        <v/>
      </c>
      <c r="AC804" s="170" t="str">
        <f t="shared" si="66"/>
        <v/>
      </c>
      <c r="AD804" s="170" t="str">
        <f t="shared" si="67"/>
        <v/>
      </c>
    </row>
    <row r="805" spans="1:30" s="170" customFormat="1" ht="20.399999999999999">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64"/>
        <v/>
      </c>
      <c r="T805" s="155" t="str">
        <f ca="1">IF(B805="","",IF(ISERROR(MATCH($J805,SorP!$B$1:$B$6226,0)),"",INDIRECT("'SorP'!$A$"&amp;MATCH($S805&amp;$J805,SorP!C:C,0))))</f>
        <v/>
      </c>
      <c r="U805" s="168"/>
      <c r="V805" s="169" t="e">
        <f>IF(C805="",NA(),MATCH($B805&amp;$C805,'Smelter Look-up'!$J:$J,0))</f>
        <v>#N/A</v>
      </c>
      <c r="X805" s="170">
        <f t="shared" ca="1" si="63"/>
        <v>0</v>
      </c>
      <c r="AB805" s="313" t="str">
        <f t="shared" si="65"/>
        <v/>
      </c>
      <c r="AC805" s="170" t="str">
        <f t="shared" si="66"/>
        <v/>
      </c>
      <c r="AD805" s="170" t="str">
        <f t="shared" si="67"/>
        <v/>
      </c>
    </row>
    <row r="806" spans="1:30" s="170" customFormat="1" ht="20.399999999999999">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64"/>
        <v/>
      </c>
      <c r="T806" s="155" t="str">
        <f ca="1">IF(B806="","",IF(ISERROR(MATCH($J806,SorP!$B$1:$B$6226,0)),"",INDIRECT("'SorP'!$A$"&amp;MATCH($S806&amp;$J806,SorP!C:C,0))))</f>
        <v/>
      </c>
      <c r="U806" s="168"/>
      <c r="V806" s="169" t="e">
        <f>IF(C806="",NA(),MATCH($B806&amp;$C806,'Smelter Look-up'!$J:$J,0))</f>
        <v>#N/A</v>
      </c>
      <c r="X806" s="170">
        <f t="shared" ca="1" si="63"/>
        <v>0</v>
      </c>
      <c r="AB806" s="313" t="str">
        <f t="shared" si="65"/>
        <v/>
      </c>
      <c r="AC806" s="170" t="str">
        <f t="shared" si="66"/>
        <v/>
      </c>
      <c r="AD806" s="170" t="str">
        <f t="shared" si="67"/>
        <v/>
      </c>
    </row>
    <row r="807" spans="1:30" s="170" customFormat="1" ht="20.399999999999999">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64"/>
        <v/>
      </c>
      <c r="T807" s="155" t="str">
        <f ca="1">IF(B807="","",IF(ISERROR(MATCH($J807,SorP!$B$1:$B$6226,0)),"",INDIRECT("'SorP'!$A$"&amp;MATCH($S807&amp;$J807,SorP!C:C,0))))</f>
        <v/>
      </c>
      <c r="U807" s="168"/>
      <c r="V807" s="169" t="e">
        <f>IF(C807="",NA(),MATCH($B807&amp;$C807,'Smelter Look-up'!$J:$J,0))</f>
        <v>#N/A</v>
      </c>
      <c r="X807" s="170">
        <f t="shared" ca="1" si="63"/>
        <v>0</v>
      </c>
      <c r="AB807" s="313" t="str">
        <f t="shared" si="65"/>
        <v/>
      </c>
      <c r="AC807" s="170" t="str">
        <f t="shared" si="66"/>
        <v/>
      </c>
      <c r="AD807" s="170" t="str">
        <f t="shared" si="67"/>
        <v/>
      </c>
    </row>
    <row r="808" spans="1:30" s="170" customFormat="1" ht="20.399999999999999">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64"/>
        <v/>
      </c>
      <c r="T808" s="155" t="str">
        <f ca="1">IF(B808="","",IF(ISERROR(MATCH($J808,SorP!$B$1:$B$6226,0)),"",INDIRECT("'SorP'!$A$"&amp;MATCH($S808&amp;$J808,SorP!C:C,0))))</f>
        <v/>
      </c>
      <c r="U808" s="168"/>
      <c r="V808" s="169" t="e">
        <f>IF(C808="",NA(),MATCH($B808&amp;$C808,'Smelter Look-up'!$J:$J,0))</f>
        <v>#N/A</v>
      </c>
      <c r="X808" s="170">
        <f t="shared" ca="1" si="63"/>
        <v>0</v>
      </c>
      <c r="AB808" s="313" t="str">
        <f t="shared" si="65"/>
        <v/>
      </c>
      <c r="AC808" s="170" t="str">
        <f t="shared" si="66"/>
        <v/>
      </c>
      <c r="AD808" s="170" t="str">
        <f t="shared" si="67"/>
        <v/>
      </c>
    </row>
    <row r="809" spans="1:30" s="170" customFormat="1" ht="20.399999999999999">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64"/>
        <v/>
      </c>
      <c r="T809" s="155" t="str">
        <f ca="1">IF(B809="","",IF(ISERROR(MATCH($J809,SorP!$B$1:$B$6226,0)),"",INDIRECT("'SorP'!$A$"&amp;MATCH($S809&amp;$J809,SorP!C:C,0))))</f>
        <v/>
      </c>
      <c r="U809" s="168"/>
      <c r="V809" s="169" t="e">
        <f>IF(C809="",NA(),MATCH($B809&amp;$C809,'Smelter Look-up'!$J:$J,0))</f>
        <v>#N/A</v>
      </c>
      <c r="X809" s="170">
        <f t="shared" ca="1" si="63"/>
        <v>0</v>
      </c>
      <c r="AB809" s="313" t="str">
        <f t="shared" si="65"/>
        <v/>
      </c>
      <c r="AC809" s="170" t="str">
        <f t="shared" si="66"/>
        <v/>
      </c>
      <c r="AD809" s="170" t="str">
        <f t="shared" si="67"/>
        <v/>
      </c>
    </row>
    <row r="810" spans="1:30" s="170" customFormat="1" ht="20.399999999999999">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64"/>
        <v/>
      </c>
      <c r="T810" s="155" t="str">
        <f ca="1">IF(B810="","",IF(ISERROR(MATCH($J810,SorP!$B$1:$B$6226,0)),"",INDIRECT("'SorP'!$A$"&amp;MATCH($S810&amp;$J810,SorP!C:C,0))))</f>
        <v/>
      </c>
      <c r="U810" s="168"/>
      <c r="V810" s="169" t="e">
        <f>IF(C810="",NA(),MATCH($B810&amp;$C810,'Smelter Look-up'!$J:$J,0))</f>
        <v>#N/A</v>
      </c>
      <c r="X810" s="170">
        <f t="shared" ca="1" si="63"/>
        <v>0</v>
      </c>
      <c r="AB810" s="313" t="str">
        <f t="shared" si="65"/>
        <v/>
      </c>
      <c r="AC810" s="170" t="str">
        <f t="shared" si="66"/>
        <v/>
      </c>
      <c r="AD810" s="170" t="str">
        <f t="shared" si="67"/>
        <v/>
      </c>
    </row>
    <row r="811" spans="1:30" s="170" customFormat="1" ht="20.399999999999999">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64"/>
        <v/>
      </c>
      <c r="T811" s="155" t="str">
        <f ca="1">IF(B811="","",IF(ISERROR(MATCH($J811,SorP!$B$1:$B$6226,0)),"",INDIRECT("'SorP'!$A$"&amp;MATCH($S811&amp;$J811,SorP!C:C,0))))</f>
        <v/>
      </c>
      <c r="U811" s="168"/>
      <c r="V811" s="169" t="e">
        <f>IF(C811="",NA(),MATCH($B811&amp;$C811,'Smelter Look-up'!$J:$J,0))</f>
        <v>#N/A</v>
      </c>
      <c r="X811" s="170">
        <f t="shared" ca="1" si="63"/>
        <v>0</v>
      </c>
      <c r="AB811" s="313" t="str">
        <f t="shared" si="65"/>
        <v/>
      </c>
      <c r="AC811" s="170" t="str">
        <f t="shared" si="66"/>
        <v/>
      </c>
      <c r="AD811" s="170" t="str">
        <f t="shared" si="67"/>
        <v/>
      </c>
    </row>
    <row r="812" spans="1:30" s="170" customFormat="1" ht="20.399999999999999">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64"/>
        <v/>
      </c>
      <c r="T812" s="155" t="str">
        <f ca="1">IF(B812="","",IF(ISERROR(MATCH($J812,SorP!$B$1:$B$6226,0)),"",INDIRECT("'SorP'!$A$"&amp;MATCH($S812&amp;$J812,SorP!C:C,0))))</f>
        <v/>
      </c>
      <c r="U812" s="168"/>
      <c r="V812" s="169" t="e">
        <f>IF(C812="",NA(),MATCH($B812&amp;$C812,'Smelter Look-up'!$J:$J,0))</f>
        <v>#N/A</v>
      </c>
      <c r="X812" s="170">
        <f t="shared" ca="1" si="63"/>
        <v>0</v>
      </c>
      <c r="AB812" s="313" t="str">
        <f t="shared" si="65"/>
        <v/>
      </c>
      <c r="AC812" s="170" t="str">
        <f t="shared" si="66"/>
        <v/>
      </c>
      <c r="AD812" s="170" t="str">
        <f t="shared" si="67"/>
        <v/>
      </c>
    </row>
    <row r="813" spans="1:30" s="170" customFormat="1" ht="20.399999999999999">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64"/>
        <v/>
      </c>
      <c r="T813" s="155" t="str">
        <f ca="1">IF(B813="","",IF(ISERROR(MATCH($J813,SorP!$B$1:$B$6226,0)),"",INDIRECT("'SorP'!$A$"&amp;MATCH($S813&amp;$J813,SorP!C:C,0))))</f>
        <v/>
      </c>
      <c r="U813" s="168"/>
      <c r="V813" s="169" t="e">
        <f>IF(C813="",NA(),MATCH($B813&amp;$C813,'Smelter Look-up'!$J:$J,0))</f>
        <v>#N/A</v>
      </c>
      <c r="X813" s="170">
        <f t="shared" ca="1" si="63"/>
        <v>0</v>
      </c>
      <c r="AB813" s="313" t="str">
        <f t="shared" si="65"/>
        <v/>
      </c>
      <c r="AC813" s="170" t="str">
        <f t="shared" si="66"/>
        <v/>
      </c>
      <c r="AD813" s="170" t="str">
        <f t="shared" si="67"/>
        <v/>
      </c>
    </row>
    <row r="814" spans="1:30" s="170" customFormat="1" ht="20.399999999999999">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64"/>
        <v/>
      </c>
      <c r="T814" s="155" t="str">
        <f ca="1">IF(B814="","",IF(ISERROR(MATCH($J814,SorP!$B$1:$B$6226,0)),"",INDIRECT("'SorP'!$A$"&amp;MATCH($S814&amp;$J814,SorP!C:C,0))))</f>
        <v/>
      </c>
      <c r="U814" s="168"/>
      <c r="V814" s="169" t="e">
        <f>IF(C814="",NA(),MATCH($B814&amp;$C814,'Smelter Look-up'!$J:$J,0))</f>
        <v>#N/A</v>
      </c>
      <c r="X814" s="170">
        <f t="shared" ca="1" si="63"/>
        <v>0</v>
      </c>
      <c r="AB814" s="313" t="str">
        <f t="shared" si="65"/>
        <v/>
      </c>
      <c r="AC814" s="170" t="str">
        <f t="shared" si="66"/>
        <v/>
      </c>
      <c r="AD814" s="170" t="str">
        <f t="shared" si="67"/>
        <v/>
      </c>
    </row>
    <row r="815" spans="1:30" s="170" customFormat="1" ht="20.399999999999999">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64"/>
        <v/>
      </c>
      <c r="T815" s="155" t="str">
        <f ca="1">IF(B815="","",IF(ISERROR(MATCH($J815,SorP!$B$1:$B$6226,0)),"",INDIRECT("'SorP'!$A$"&amp;MATCH($S815&amp;$J815,SorP!C:C,0))))</f>
        <v/>
      </c>
      <c r="U815" s="168"/>
      <c r="V815" s="169" t="e">
        <f>IF(C815="",NA(),MATCH($B815&amp;$C815,'Smelter Look-up'!$J:$J,0))</f>
        <v>#N/A</v>
      </c>
      <c r="X815" s="170">
        <f t="shared" ca="1" si="63"/>
        <v>0</v>
      </c>
      <c r="AB815" s="313" t="str">
        <f t="shared" si="65"/>
        <v/>
      </c>
      <c r="AC815" s="170" t="str">
        <f t="shared" si="66"/>
        <v/>
      </c>
      <c r="AD815" s="170" t="str">
        <f t="shared" si="67"/>
        <v/>
      </c>
    </row>
    <row r="816" spans="1:30" s="170" customFormat="1" ht="20.399999999999999">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64"/>
        <v/>
      </c>
      <c r="T816" s="155" t="str">
        <f ca="1">IF(B816="","",IF(ISERROR(MATCH($J816,SorP!$B$1:$B$6226,0)),"",INDIRECT("'SorP'!$A$"&amp;MATCH($S816&amp;$J816,SorP!C:C,0))))</f>
        <v/>
      </c>
      <c r="U816" s="168"/>
      <c r="V816" s="169" t="e">
        <f>IF(C816="",NA(),MATCH($B816&amp;$C816,'Smelter Look-up'!$J:$J,0))</f>
        <v>#N/A</v>
      </c>
      <c r="X816" s="170">
        <f t="shared" ca="1" si="63"/>
        <v>0</v>
      </c>
      <c r="AB816" s="313" t="str">
        <f t="shared" si="65"/>
        <v/>
      </c>
      <c r="AC816" s="170" t="str">
        <f t="shared" si="66"/>
        <v/>
      </c>
      <c r="AD816" s="170" t="str">
        <f t="shared" si="67"/>
        <v/>
      </c>
    </row>
    <row r="817" spans="1:30" s="170" customFormat="1" ht="20.399999999999999">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64"/>
        <v/>
      </c>
      <c r="T817" s="155" t="str">
        <f ca="1">IF(B817="","",IF(ISERROR(MATCH($J817,SorP!$B$1:$B$6226,0)),"",INDIRECT("'SorP'!$A$"&amp;MATCH($S817&amp;$J817,SorP!C:C,0))))</f>
        <v/>
      </c>
      <c r="U817" s="168"/>
      <c r="V817" s="169" t="e">
        <f>IF(C817="",NA(),MATCH($B817&amp;$C817,'Smelter Look-up'!$J:$J,0))</f>
        <v>#N/A</v>
      </c>
      <c r="X817" s="170">
        <f t="shared" ca="1" si="63"/>
        <v>0</v>
      </c>
      <c r="AB817" s="313" t="str">
        <f t="shared" si="65"/>
        <v/>
      </c>
      <c r="AC817" s="170" t="str">
        <f t="shared" si="66"/>
        <v/>
      </c>
      <c r="AD817" s="170" t="str">
        <f t="shared" si="67"/>
        <v/>
      </c>
    </row>
    <row r="818" spans="1:30" s="170" customFormat="1" ht="20.399999999999999">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64"/>
        <v/>
      </c>
      <c r="T818" s="155" t="str">
        <f ca="1">IF(B818="","",IF(ISERROR(MATCH($J818,SorP!$B$1:$B$6226,0)),"",INDIRECT("'SorP'!$A$"&amp;MATCH($S818&amp;$J818,SorP!C:C,0))))</f>
        <v/>
      </c>
      <c r="U818" s="168"/>
      <c r="V818" s="169" t="e">
        <f>IF(C818="",NA(),MATCH($B818&amp;$C818,'Smelter Look-up'!$J:$J,0))</f>
        <v>#N/A</v>
      </c>
      <c r="X818" s="170">
        <f t="shared" ca="1" si="63"/>
        <v>0</v>
      </c>
      <c r="AB818" s="313" t="str">
        <f t="shared" si="65"/>
        <v/>
      </c>
      <c r="AC818" s="170" t="str">
        <f t="shared" si="66"/>
        <v/>
      </c>
      <c r="AD818" s="170" t="str">
        <f t="shared" si="67"/>
        <v/>
      </c>
    </row>
    <row r="819" spans="1:30" s="170" customFormat="1" ht="20.399999999999999">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64"/>
        <v/>
      </c>
      <c r="T819" s="155" t="str">
        <f ca="1">IF(B819="","",IF(ISERROR(MATCH($J819,SorP!$B$1:$B$6226,0)),"",INDIRECT("'SorP'!$A$"&amp;MATCH($S819&amp;$J819,SorP!C:C,0))))</f>
        <v/>
      </c>
      <c r="U819" s="168"/>
      <c r="V819" s="169" t="e">
        <f>IF(C819="",NA(),MATCH($B819&amp;$C819,'Smelter Look-up'!$J:$J,0))</f>
        <v>#N/A</v>
      </c>
      <c r="X819" s="170">
        <f t="shared" ca="1" si="63"/>
        <v>0</v>
      </c>
      <c r="AB819" s="313" t="str">
        <f t="shared" si="65"/>
        <v/>
      </c>
      <c r="AC819" s="170" t="str">
        <f t="shared" si="66"/>
        <v/>
      </c>
      <c r="AD819" s="170" t="str">
        <f t="shared" si="67"/>
        <v/>
      </c>
    </row>
    <row r="820" spans="1:30" s="170" customFormat="1" ht="20.399999999999999">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64"/>
        <v/>
      </c>
      <c r="T820" s="155" t="str">
        <f ca="1">IF(B820="","",IF(ISERROR(MATCH($J820,SorP!$B$1:$B$6226,0)),"",INDIRECT("'SorP'!$A$"&amp;MATCH($S820&amp;$J820,SorP!C:C,0))))</f>
        <v/>
      </c>
      <c r="U820" s="168"/>
      <c r="V820" s="169" t="e">
        <f>IF(C820="",NA(),MATCH($B820&amp;$C820,'Smelter Look-up'!$J:$J,0))</f>
        <v>#N/A</v>
      </c>
      <c r="X820" s="170">
        <f t="shared" ca="1" si="63"/>
        <v>0</v>
      </c>
      <c r="AB820" s="313" t="str">
        <f t="shared" si="65"/>
        <v/>
      </c>
      <c r="AC820" s="170" t="str">
        <f t="shared" si="66"/>
        <v/>
      </c>
      <c r="AD820" s="170" t="str">
        <f t="shared" si="67"/>
        <v/>
      </c>
    </row>
    <row r="821" spans="1:30" s="170" customFormat="1" ht="20.399999999999999">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64"/>
        <v/>
      </c>
      <c r="T821" s="155" t="str">
        <f ca="1">IF(B821="","",IF(ISERROR(MATCH($J821,SorP!$B$1:$B$6226,0)),"",INDIRECT("'SorP'!$A$"&amp;MATCH($S821&amp;$J821,SorP!C:C,0))))</f>
        <v/>
      </c>
      <c r="U821" s="168"/>
      <c r="V821" s="169" t="e">
        <f>IF(C821="",NA(),MATCH($B821&amp;$C821,'Smelter Look-up'!$J:$J,0))</f>
        <v>#N/A</v>
      </c>
      <c r="X821" s="170">
        <f t="shared" ca="1" si="63"/>
        <v>0</v>
      </c>
      <c r="AB821" s="313" t="str">
        <f t="shared" si="65"/>
        <v/>
      </c>
      <c r="AC821" s="170" t="str">
        <f t="shared" si="66"/>
        <v/>
      </c>
      <c r="AD821" s="170" t="str">
        <f t="shared" si="67"/>
        <v/>
      </c>
    </row>
    <row r="822" spans="1:30" s="170" customFormat="1" ht="20.399999999999999">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64"/>
        <v/>
      </c>
      <c r="T822" s="155" t="str">
        <f ca="1">IF(B822="","",IF(ISERROR(MATCH($J822,SorP!$B$1:$B$6226,0)),"",INDIRECT("'SorP'!$A$"&amp;MATCH($S822&amp;$J822,SorP!C:C,0))))</f>
        <v/>
      </c>
      <c r="U822" s="168"/>
      <c r="V822" s="169" t="e">
        <f>IF(C822="",NA(),MATCH($B822&amp;$C822,'Smelter Look-up'!$J:$J,0))</f>
        <v>#N/A</v>
      </c>
      <c r="X822" s="170">
        <f t="shared" ca="1" si="63"/>
        <v>0</v>
      </c>
      <c r="AB822" s="313" t="str">
        <f t="shared" si="65"/>
        <v/>
      </c>
      <c r="AC822" s="170" t="str">
        <f t="shared" si="66"/>
        <v/>
      </c>
      <c r="AD822" s="170" t="str">
        <f t="shared" si="67"/>
        <v/>
      </c>
    </row>
    <row r="823" spans="1:30" s="170" customFormat="1" ht="20.399999999999999">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64"/>
        <v/>
      </c>
      <c r="T823" s="155" t="str">
        <f ca="1">IF(B823="","",IF(ISERROR(MATCH($J823,SorP!$B$1:$B$6226,0)),"",INDIRECT("'SorP'!$A$"&amp;MATCH($S823&amp;$J823,SorP!C:C,0))))</f>
        <v/>
      </c>
      <c r="U823" s="168"/>
      <c r="V823" s="169" t="e">
        <f>IF(C823="",NA(),MATCH($B823&amp;$C823,'Smelter Look-up'!$J:$J,0))</f>
        <v>#N/A</v>
      </c>
      <c r="X823" s="170">
        <f t="shared" ca="1" si="63"/>
        <v>0</v>
      </c>
      <c r="AB823" s="313" t="str">
        <f t="shared" si="65"/>
        <v/>
      </c>
      <c r="AC823" s="170" t="str">
        <f t="shared" si="66"/>
        <v/>
      </c>
      <c r="AD823" s="170" t="str">
        <f t="shared" si="67"/>
        <v/>
      </c>
    </row>
    <row r="824" spans="1:30" s="170" customFormat="1" ht="20.399999999999999">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64"/>
        <v/>
      </c>
      <c r="T824" s="155" t="str">
        <f ca="1">IF(B824="","",IF(ISERROR(MATCH($J824,SorP!$B$1:$B$6226,0)),"",INDIRECT("'SorP'!$A$"&amp;MATCH($S824&amp;$J824,SorP!C:C,0))))</f>
        <v/>
      </c>
      <c r="U824" s="168"/>
      <c r="V824" s="169" t="e">
        <f>IF(C824="",NA(),MATCH($B824&amp;$C824,'Smelter Look-up'!$J:$J,0))</f>
        <v>#N/A</v>
      </c>
      <c r="X824" s="170">
        <f t="shared" ca="1" si="63"/>
        <v>0</v>
      </c>
      <c r="AB824" s="313" t="str">
        <f t="shared" si="65"/>
        <v/>
      </c>
      <c r="AC824" s="170" t="str">
        <f t="shared" si="66"/>
        <v/>
      </c>
      <c r="AD824" s="170" t="str">
        <f t="shared" si="67"/>
        <v/>
      </c>
    </row>
    <row r="825" spans="1:30" s="170" customFormat="1" ht="20.399999999999999">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64"/>
        <v/>
      </c>
      <c r="T825" s="155" t="str">
        <f ca="1">IF(B825="","",IF(ISERROR(MATCH($J825,SorP!$B$1:$B$6226,0)),"",INDIRECT("'SorP'!$A$"&amp;MATCH($S825&amp;$J825,SorP!C:C,0))))</f>
        <v/>
      </c>
      <c r="U825" s="168"/>
      <c r="V825" s="169" t="e">
        <f>IF(C825="",NA(),MATCH($B825&amp;$C825,'Smelter Look-up'!$J:$J,0))</f>
        <v>#N/A</v>
      </c>
      <c r="X825" s="170">
        <f t="shared" ca="1" si="63"/>
        <v>0</v>
      </c>
      <c r="AB825" s="313" t="str">
        <f t="shared" si="65"/>
        <v/>
      </c>
      <c r="AC825" s="170" t="str">
        <f t="shared" si="66"/>
        <v/>
      </c>
      <c r="AD825" s="170" t="str">
        <f t="shared" si="67"/>
        <v/>
      </c>
    </row>
    <row r="826" spans="1:30" s="170" customFormat="1" ht="20.399999999999999">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64"/>
        <v/>
      </c>
      <c r="T826" s="155" t="str">
        <f ca="1">IF(B826="","",IF(ISERROR(MATCH($J826,SorP!$B$1:$B$6226,0)),"",INDIRECT("'SorP'!$A$"&amp;MATCH($S826&amp;$J826,SorP!C:C,0))))</f>
        <v/>
      </c>
      <c r="U826" s="168"/>
      <c r="V826" s="169" t="e">
        <f>IF(C826="",NA(),MATCH($B826&amp;$C826,'Smelter Look-up'!$J:$J,0))</f>
        <v>#N/A</v>
      </c>
      <c r="X826" s="170">
        <f t="shared" ca="1" si="63"/>
        <v>0</v>
      </c>
      <c r="AB826" s="313" t="str">
        <f t="shared" si="65"/>
        <v/>
      </c>
      <c r="AC826" s="170" t="str">
        <f t="shared" si="66"/>
        <v/>
      </c>
      <c r="AD826" s="170" t="str">
        <f t="shared" si="67"/>
        <v/>
      </c>
    </row>
    <row r="827" spans="1:30" s="170" customFormat="1" ht="20.399999999999999">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64"/>
        <v/>
      </c>
      <c r="T827" s="155" t="str">
        <f ca="1">IF(B827="","",IF(ISERROR(MATCH($J827,SorP!$B$1:$B$6226,0)),"",INDIRECT("'SorP'!$A$"&amp;MATCH($S827&amp;$J827,SorP!C:C,0))))</f>
        <v/>
      </c>
      <c r="U827" s="168"/>
      <c r="V827" s="169" t="e">
        <f>IF(C827="",NA(),MATCH($B827&amp;$C827,'Smelter Look-up'!$J:$J,0))</f>
        <v>#N/A</v>
      </c>
      <c r="X827" s="170">
        <f t="shared" ca="1" si="63"/>
        <v>0</v>
      </c>
      <c r="AB827" s="313" t="str">
        <f t="shared" si="65"/>
        <v/>
      </c>
      <c r="AC827" s="170" t="str">
        <f t="shared" si="66"/>
        <v/>
      </c>
      <c r="AD827" s="170" t="str">
        <f t="shared" si="67"/>
        <v/>
      </c>
    </row>
    <row r="828" spans="1:30" s="170" customFormat="1" ht="20.399999999999999">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64"/>
        <v/>
      </c>
      <c r="T828" s="155" t="str">
        <f ca="1">IF(B828="","",IF(ISERROR(MATCH($J828,SorP!$B$1:$B$6226,0)),"",INDIRECT("'SorP'!$A$"&amp;MATCH($S828&amp;$J828,SorP!C:C,0))))</f>
        <v/>
      </c>
      <c r="U828" s="168"/>
      <c r="V828" s="169" t="e">
        <f>IF(C828="",NA(),MATCH($B828&amp;$C828,'Smelter Look-up'!$J:$J,0))</f>
        <v>#N/A</v>
      </c>
      <c r="X828" s="170">
        <f t="shared" ca="1" si="63"/>
        <v>0</v>
      </c>
      <c r="AB828" s="313" t="str">
        <f t="shared" si="65"/>
        <v/>
      </c>
      <c r="AC828" s="170" t="str">
        <f t="shared" si="66"/>
        <v/>
      </c>
      <c r="AD828" s="170" t="str">
        <f t="shared" si="67"/>
        <v/>
      </c>
    </row>
    <row r="829" spans="1:30" s="170" customFormat="1" ht="20.399999999999999">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64"/>
        <v/>
      </c>
      <c r="T829" s="155" t="str">
        <f ca="1">IF(B829="","",IF(ISERROR(MATCH($J829,SorP!$B$1:$B$6226,0)),"",INDIRECT("'SorP'!$A$"&amp;MATCH($S829&amp;$J829,SorP!C:C,0))))</f>
        <v/>
      </c>
      <c r="U829" s="168"/>
      <c r="V829" s="169" t="e">
        <f>IF(C829="",NA(),MATCH($B829&amp;$C829,'Smelter Look-up'!$J:$J,0))</f>
        <v>#N/A</v>
      </c>
      <c r="X829" s="170">
        <f t="shared" ca="1" si="63"/>
        <v>0</v>
      </c>
      <c r="AB829" s="313" t="str">
        <f t="shared" si="65"/>
        <v/>
      </c>
      <c r="AC829" s="170" t="str">
        <f t="shared" si="66"/>
        <v/>
      </c>
      <c r="AD829" s="170" t="str">
        <f t="shared" si="67"/>
        <v/>
      </c>
    </row>
    <row r="830" spans="1:30" s="170" customFormat="1" ht="20.399999999999999">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64"/>
        <v/>
      </c>
      <c r="T830" s="155" t="str">
        <f ca="1">IF(B830="","",IF(ISERROR(MATCH($J830,SorP!$B$1:$B$6226,0)),"",INDIRECT("'SorP'!$A$"&amp;MATCH($S830&amp;$J830,SorP!C:C,0))))</f>
        <v/>
      </c>
      <c r="U830" s="168"/>
      <c r="V830" s="169" t="e">
        <f>IF(C830="",NA(),MATCH($B830&amp;$C830,'Smelter Look-up'!$J:$J,0))</f>
        <v>#N/A</v>
      </c>
      <c r="X830" s="170">
        <f t="shared" ca="1" si="63"/>
        <v>0</v>
      </c>
      <c r="AB830" s="313" t="str">
        <f t="shared" si="65"/>
        <v/>
      </c>
      <c r="AC830" s="170" t="str">
        <f t="shared" si="66"/>
        <v/>
      </c>
      <c r="AD830" s="170" t="str">
        <f t="shared" si="67"/>
        <v/>
      </c>
    </row>
    <row r="831" spans="1:30" s="170" customFormat="1" ht="20.399999999999999">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64"/>
        <v/>
      </c>
      <c r="T831" s="155" t="str">
        <f ca="1">IF(B831="","",IF(ISERROR(MATCH($J831,SorP!$B$1:$B$6226,0)),"",INDIRECT("'SorP'!$A$"&amp;MATCH($S831&amp;$J831,SorP!C:C,0))))</f>
        <v/>
      </c>
      <c r="U831" s="168"/>
      <c r="V831" s="169" t="e">
        <f>IF(C831="",NA(),MATCH($B831&amp;$C831,'Smelter Look-up'!$J:$J,0))</f>
        <v>#N/A</v>
      </c>
      <c r="X831" s="170">
        <f t="shared" ref="X831:X894" ca="1" si="68">IF(AND(C831="Smelter not listed",OR(LEN(D831)=0,LEN(E831)=0)),1,0)</f>
        <v>0</v>
      </c>
      <c r="AB831" s="313" t="str">
        <f t="shared" si="65"/>
        <v/>
      </c>
      <c r="AC831" s="170" t="str">
        <f t="shared" si="66"/>
        <v/>
      </c>
      <c r="AD831" s="170" t="str">
        <f t="shared" si="67"/>
        <v/>
      </c>
    </row>
    <row r="832" spans="1:30" s="170" customFormat="1" ht="20.399999999999999">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ref="S832:S895" ca="1" si="69">IF(B832="","",IF(ISERROR(MATCH($E832,CL,0)),"Unknown",INDIRECT("'C'!$A$"&amp;MATCH($E832,CL,0)+1)))</f>
        <v/>
      </c>
      <c r="T832" s="155" t="str">
        <f ca="1">IF(B832="","",IF(ISERROR(MATCH($J832,SorP!$B$1:$B$6226,0)),"",INDIRECT("'SorP'!$A$"&amp;MATCH($S832&amp;$J832,SorP!C:C,0))))</f>
        <v/>
      </c>
      <c r="U832" s="168"/>
      <c r="V832" s="169" t="e">
        <f>IF(C832="",NA(),MATCH($B832&amp;$C832,'Smelter Look-up'!$J:$J,0))</f>
        <v>#N/A</v>
      </c>
      <c r="X832" s="170">
        <f t="shared" ca="1" si="68"/>
        <v>0</v>
      </c>
      <c r="AB832" s="313" t="str">
        <f t="shared" si="65"/>
        <v/>
      </c>
      <c r="AC832" s="170" t="str">
        <f t="shared" si="66"/>
        <v/>
      </c>
      <c r="AD832" s="170" t="str">
        <f t="shared" si="67"/>
        <v/>
      </c>
    </row>
    <row r="833" spans="1:30" s="170" customFormat="1" ht="20.399999999999999">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69"/>
        <v/>
      </c>
      <c r="T833" s="155" t="str">
        <f ca="1">IF(B833="","",IF(ISERROR(MATCH($J833,SorP!$B$1:$B$6226,0)),"",INDIRECT("'SorP'!$A$"&amp;MATCH($S833&amp;$J833,SorP!C:C,0))))</f>
        <v/>
      </c>
      <c r="U833" s="168"/>
      <c r="V833" s="169" t="e">
        <f>IF(C833="",NA(),MATCH($B833&amp;$C833,'Smelter Look-up'!$J:$J,0))</f>
        <v>#N/A</v>
      </c>
      <c r="X833" s="170">
        <f t="shared" ca="1" si="68"/>
        <v>0</v>
      </c>
      <c r="AB833" s="313" t="str">
        <f t="shared" si="65"/>
        <v/>
      </c>
      <c r="AC833" s="170" t="str">
        <f t="shared" si="66"/>
        <v/>
      </c>
      <c r="AD833" s="170" t="str">
        <f t="shared" si="67"/>
        <v/>
      </c>
    </row>
    <row r="834" spans="1:30" s="170" customFormat="1" ht="20.399999999999999">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69"/>
        <v/>
      </c>
      <c r="T834" s="155" t="str">
        <f ca="1">IF(B834="","",IF(ISERROR(MATCH($J834,SorP!$B$1:$B$6226,0)),"",INDIRECT("'SorP'!$A$"&amp;MATCH($S834&amp;$J834,SorP!C:C,0))))</f>
        <v/>
      </c>
      <c r="U834" s="168"/>
      <c r="V834" s="169" t="e">
        <f>IF(C834="",NA(),MATCH($B834&amp;$C834,'Smelter Look-up'!$J:$J,0))</f>
        <v>#N/A</v>
      </c>
      <c r="X834" s="170">
        <f t="shared" ca="1" si="68"/>
        <v>0</v>
      </c>
      <c r="AB834" s="313" t="str">
        <f t="shared" si="65"/>
        <v/>
      </c>
      <c r="AC834" s="170" t="str">
        <f t="shared" si="66"/>
        <v/>
      </c>
      <c r="AD834" s="170" t="str">
        <f t="shared" si="67"/>
        <v/>
      </c>
    </row>
    <row r="835" spans="1:30" s="170" customFormat="1" ht="20.399999999999999">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69"/>
        <v/>
      </c>
      <c r="T835" s="155" t="str">
        <f ca="1">IF(B835="","",IF(ISERROR(MATCH($J835,SorP!$B$1:$B$6226,0)),"",INDIRECT("'SorP'!$A$"&amp;MATCH($S835&amp;$J835,SorP!C:C,0))))</f>
        <v/>
      </c>
      <c r="U835" s="168"/>
      <c r="V835" s="169" t="e">
        <f>IF(C835="",NA(),MATCH($B835&amp;$C835,'Smelter Look-up'!$J:$J,0))</f>
        <v>#N/A</v>
      </c>
      <c r="X835" s="170">
        <f t="shared" ca="1" si="68"/>
        <v>0</v>
      </c>
      <c r="AB835" s="313" t="str">
        <f t="shared" si="65"/>
        <v/>
      </c>
      <c r="AC835" s="170" t="str">
        <f t="shared" si="66"/>
        <v/>
      </c>
      <c r="AD835" s="170" t="str">
        <f t="shared" si="67"/>
        <v/>
      </c>
    </row>
    <row r="836" spans="1:30" s="170" customFormat="1" ht="20.399999999999999">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69"/>
        <v/>
      </c>
      <c r="T836" s="155" t="str">
        <f ca="1">IF(B836="","",IF(ISERROR(MATCH($J836,SorP!$B$1:$B$6226,0)),"",INDIRECT("'SorP'!$A$"&amp;MATCH($S836&amp;$J836,SorP!C:C,0))))</f>
        <v/>
      </c>
      <c r="U836" s="168"/>
      <c r="V836" s="169" t="e">
        <f>IF(C836="",NA(),MATCH($B836&amp;$C836,'Smelter Look-up'!$J:$J,0))</f>
        <v>#N/A</v>
      </c>
      <c r="X836" s="170">
        <f t="shared" ca="1" si="68"/>
        <v>0</v>
      </c>
      <c r="AB836" s="313" t="str">
        <f t="shared" si="65"/>
        <v/>
      </c>
      <c r="AC836" s="170" t="str">
        <f t="shared" si="66"/>
        <v/>
      </c>
      <c r="AD836" s="170" t="str">
        <f t="shared" si="67"/>
        <v/>
      </c>
    </row>
    <row r="837" spans="1:30" s="170" customFormat="1" ht="20.399999999999999">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69"/>
        <v/>
      </c>
      <c r="T837" s="155" t="str">
        <f ca="1">IF(B837="","",IF(ISERROR(MATCH($J837,SorP!$B$1:$B$6226,0)),"",INDIRECT("'SorP'!$A$"&amp;MATCH($S837&amp;$J837,SorP!C:C,0))))</f>
        <v/>
      </c>
      <c r="U837" s="168"/>
      <c r="V837" s="169" t="e">
        <f>IF(C837="",NA(),MATCH($B837&amp;$C837,'Smelter Look-up'!$J:$J,0))</f>
        <v>#N/A</v>
      </c>
      <c r="X837" s="170">
        <f t="shared" ca="1" si="68"/>
        <v>0</v>
      </c>
      <c r="AB837" s="313" t="str">
        <f t="shared" si="65"/>
        <v/>
      </c>
      <c r="AC837" s="170" t="str">
        <f t="shared" si="66"/>
        <v/>
      </c>
      <c r="AD837" s="170" t="str">
        <f t="shared" si="67"/>
        <v/>
      </c>
    </row>
    <row r="838" spans="1:30" s="170" customFormat="1" ht="20.399999999999999">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69"/>
        <v/>
      </c>
      <c r="T838" s="155" t="str">
        <f ca="1">IF(B838="","",IF(ISERROR(MATCH($J838,SorP!$B$1:$B$6226,0)),"",INDIRECT("'SorP'!$A$"&amp;MATCH($S838&amp;$J838,SorP!C:C,0))))</f>
        <v/>
      </c>
      <c r="U838" s="168"/>
      <c r="V838" s="169" t="e">
        <f>IF(C838="",NA(),MATCH($B838&amp;$C838,'Smelter Look-up'!$J:$J,0))</f>
        <v>#N/A</v>
      </c>
      <c r="X838" s="170">
        <f t="shared" ca="1" si="68"/>
        <v>0</v>
      </c>
      <c r="AB838" s="313" t="str">
        <f t="shared" ref="AB838:AB901" si="70">IF(C838="","",B838)</f>
        <v/>
      </c>
      <c r="AC838" s="170" t="str">
        <f t="shared" ref="AC838:AC901" si="71">B838</f>
        <v/>
      </c>
      <c r="AD838" s="170" t="str">
        <f t="shared" ref="AD838:AD901" si="72">IF(C838="Smelter not listed",D838,C838)</f>
        <v/>
      </c>
    </row>
    <row r="839" spans="1:30" s="170" customFormat="1" ht="20.399999999999999">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69"/>
        <v/>
      </c>
      <c r="T839" s="155" t="str">
        <f ca="1">IF(B839="","",IF(ISERROR(MATCH($J839,SorP!$B$1:$B$6226,0)),"",INDIRECT("'SorP'!$A$"&amp;MATCH($S839&amp;$J839,SorP!C:C,0))))</f>
        <v/>
      </c>
      <c r="U839" s="168"/>
      <c r="V839" s="169" t="e">
        <f>IF(C839="",NA(),MATCH($B839&amp;$C839,'Smelter Look-up'!$J:$J,0))</f>
        <v>#N/A</v>
      </c>
      <c r="X839" s="170">
        <f t="shared" ca="1" si="68"/>
        <v>0</v>
      </c>
      <c r="AB839" s="313" t="str">
        <f t="shared" si="70"/>
        <v/>
      </c>
      <c r="AC839" s="170" t="str">
        <f t="shared" si="71"/>
        <v/>
      </c>
      <c r="AD839" s="170" t="str">
        <f t="shared" si="72"/>
        <v/>
      </c>
    </row>
    <row r="840" spans="1:30" s="170" customFormat="1" ht="20.399999999999999">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69"/>
        <v/>
      </c>
      <c r="T840" s="155" t="str">
        <f ca="1">IF(B840="","",IF(ISERROR(MATCH($J840,SorP!$B$1:$B$6226,0)),"",INDIRECT("'SorP'!$A$"&amp;MATCH($S840&amp;$J840,SorP!C:C,0))))</f>
        <v/>
      </c>
      <c r="U840" s="168"/>
      <c r="V840" s="169" t="e">
        <f>IF(C840="",NA(),MATCH($B840&amp;$C840,'Smelter Look-up'!$J:$J,0))</f>
        <v>#N/A</v>
      </c>
      <c r="X840" s="170">
        <f t="shared" ca="1" si="68"/>
        <v>0</v>
      </c>
      <c r="AB840" s="313" t="str">
        <f t="shared" si="70"/>
        <v/>
      </c>
      <c r="AC840" s="170" t="str">
        <f t="shared" si="71"/>
        <v/>
      </c>
      <c r="AD840" s="170" t="str">
        <f t="shared" si="72"/>
        <v/>
      </c>
    </row>
    <row r="841" spans="1:30" s="170" customFormat="1" ht="20.399999999999999">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69"/>
        <v/>
      </c>
      <c r="T841" s="155" t="str">
        <f ca="1">IF(B841="","",IF(ISERROR(MATCH($J841,SorP!$B$1:$B$6226,0)),"",INDIRECT("'SorP'!$A$"&amp;MATCH($S841&amp;$J841,SorP!C:C,0))))</f>
        <v/>
      </c>
      <c r="U841" s="168"/>
      <c r="V841" s="169" t="e">
        <f>IF(C841="",NA(),MATCH($B841&amp;$C841,'Smelter Look-up'!$J:$J,0))</f>
        <v>#N/A</v>
      </c>
      <c r="X841" s="170">
        <f t="shared" ca="1" si="68"/>
        <v>0</v>
      </c>
      <c r="AB841" s="313" t="str">
        <f t="shared" si="70"/>
        <v/>
      </c>
      <c r="AC841" s="170" t="str">
        <f t="shared" si="71"/>
        <v/>
      </c>
      <c r="AD841" s="170" t="str">
        <f t="shared" si="72"/>
        <v/>
      </c>
    </row>
    <row r="842" spans="1:30" s="170" customFormat="1" ht="20.399999999999999">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69"/>
        <v/>
      </c>
      <c r="T842" s="155" t="str">
        <f ca="1">IF(B842="","",IF(ISERROR(MATCH($J842,SorP!$B$1:$B$6226,0)),"",INDIRECT("'SorP'!$A$"&amp;MATCH($S842&amp;$J842,SorP!C:C,0))))</f>
        <v/>
      </c>
      <c r="U842" s="168"/>
      <c r="V842" s="169" t="e">
        <f>IF(C842="",NA(),MATCH($B842&amp;$C842,'Smelter Look-up'!$J:$J,0))</f>
        <v>#N/A</v>
      </c>
      <c r="X842" s="170">
        <f t="shared" ca="1" si="68"/>
        <v>0</v>
      </c>
      <c r="AB842" s="313" t="str">
        <f t="shared" si="70"/>
        <v/>
      </c>
      <c r="AC842" s="170" t="str">
        <f t="shared" si="71"/>
        <v/>
      </c>
      <c r="AD842" s="170" t="str">
        <f t="shared" si="72"/>
        <v/>
      </c>
    </row>
    <row r="843" spans="1:30" s="170" customFormat="1" ht="20.399999999999999">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69"/>
        <v/>
      </c>
      <c r="T843" s="155" t="str">
        <f ca="1">IF(B843="","",IF(ISERROR(MATCH($J843,SorP!$B$1:$B$6226,0)),"",INDIRECT("'SorP'!$A$"&amp;MATCH($S843&amp;$J843,SorP!C:C,0))))</f>
        <v/>
      </c>
      <c r="U843" s="168"/>
      <c r="V843" s="169" t="e">
        <f>IF(C843="",NA(),MATCH($B843&amp;$C843,'Smelter Look-up'!$J:$J,0))</f>
        <v>#N/A</v>
      </c>
      <c r="X843" s="170">
        <f t="shared" ca="1" si="68"/>
        <v>0</v>
      </c>
      <c r="AB843" s="313" t="str">
        <f t="shared" si="70"/>
        <v/>
      </c>
      <c r="AC843" s="170" t="str">
        <f t="shared" si="71"/>
        <v/>
      </c>
      <c r="AD843" s="170" t="str">
        <f t="shared" si="72"/>
        <v/>
      </c>
    </row>
    <row r="844" spans="1:30" s="170" customFormat="1" ht="20.399999999999999">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69"/>
        <v/>
      </c>
      <c r="T844" s="155" t="str">
        <f ca="1">IF(B844="","",IF(ISERROR(MATCH($J844,SorP!$B$1:$B$6226,0)),"",INDIRECT("'SorP'!$A$"&amp;MATCH($S844&amp;$J844,SorP!C:C,0))))</f>
        <v/>
      </c>
      <c r="U844" s="168"/>
      <c r="V844" s="169" t="e">
        <f>IF(C844="",NA(),MATCH($B844&amp;$C844,'Smelter Look-up'!$J:$J,0))</f>
        <v>#N/A</v>
      </c>
      <c r="X844" s="170">
        <f t="shared" ca="1" si="68"/>
        <v>0</v>
      </c>
      <c r="AB844" s="313" t="str">
        <f t="shared" si="70"/>
        <v/>
      </c>
      <c r="AC844" s="170" t="str">
        <f t="shared" si="71"/>
        <v/>
      </c>
      <c r="AD844" s="170" t="str">
        <f t="shared" si="72"/>
        <v/>
      </c>
    </row>
    <row r="845" spans="1:30" s="170" customFormat="1" ht="20.399999999999999">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69"/>
        <v/>
      </c>
      <c r="T845" s="155" t="str">
        <f ca="1">IF(B845="","",IF(ISERROR(MATCH($J845,SorP!$B$1:$B$6226,0)),"",INDIRECT("'SorP'!$A$"&amp;MATCH($S845&amp;$J845,SorP!C:C,0))))</f>
        <v/>
      </c>
      <c r="U845" s="168"/>
      <c r="V845" s="169" t="e">
        <f>IF(C845="",NA(),MATCH($B845&amp;$C845,'Smelter Look-up'!$J:$J,0))</f>
        <v>#N/A</v>
      </c>
      <c r="X845" s="170">
        <f t="shared" ca="1" si="68"/>
        <v>0</v>
      </c>
      <c r="AB845" s="313" t="str">
        <f t="shared" si="70"/>
        <v/>
      </c>
      <c r="AC845" s="170" t="str">
        <f t="shared" si="71"/>
        <v/>
      </c>
      <c r="AD845" s="170" t="str">
        <f t="shared" si="72"/>
        <v/>
      </c>
    </row>
    <row r="846" spans="1:30" s="170" customFormat="1" ht="20.399999999999999">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69"/>
        <v/>
      </c>
      <c r="T846" s="155" t="str">
        <f ca="1">IF(B846="","",IF(ISERROR(MATCH($J846,SorP!$B$1:$B$6226,0)),"",INDIRECT("'SorP'!$A$"&amp;MATCH($S846&amp;$J846,SorP!C:C,0))))</f>
        <v/>
      </c>
      <c r="U846" s="168"/>
      <c r="V846" s="169" t="e">
        <f>IF(C846="",NA(),MATCH($B846&amp;$C846,'Smelter Look-up'!$J:$J,0))</f>
        <v>#N/A</v>
      </c>
      <c r="X846" s="170">
        <f t="shared" ca="1" si="68"/>
        <v>0</v>
      </c>
      <c r="AB846" s="313" t="str">
        <f t="shared" si="70"/>
        <v/>
      </c>
      <c r="AC846" s="170" t="str">
        <f t="shared" si="71"/>
        <v/>
      </c>
      <c r="AD846" s="170" t="str">
        <f t="shared" si="72"/>
        <v/>
      </c>
    </row>
    <row r="847" spans="1:30" s="170" customFormat="1" ht="20.399999999999999">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69"/>
        <v/>
      </c>
      <c r="T847" s="155" t="str">
        <f ca="1">IF(B847="","",IF(ISERROR(MATCH($J847,SorP!$B$1:$B$6226,0)),"",INDIRECT("'SorP'!$A$"&amp;MATCH($S847&amp;$J847,SorP!C:C,0))))</f>
        <v/>
      </c>
      <c r="U847" s="168"/>
      <c r="V847" s="169" t="e">
        <f>IF(C847="",NA(),MATCH($B847&amp;$C847,'Smelter Look-up'!$J:$J,0))</f>
        <v>#N/A</v>
      </c>
      <c r="X847" s="170">
        <f t="shared" ca="1" si="68"/>
        <v>0</v>
      </c>
      <c r="AB847" s="313" t="str">
        <f t="shared" si="70"/>
        <v/>
      </c>
      <c r="AC847" s="170" t="str">
        <f t="shared" si="71"/>
        <v/>
      </c>
      <c r="AD847" s="170" t="str">
        <f t="shared" si="72"/>
        <v/>
      </c>
    </row>
    <row r="848" spans="1:30" s="170" customFormat="1" ht="20.399999999999999">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69"/>
        <v/>
      </c>
      <c r="T848" s="155" t="str">
        <f ca="1">IF(B848="","",IF(ISERROR(MATCH($J848,SorP!$B$1:$B$6226,0)),"",INDIRECT("'SorP'!$A$"&amp;MATCH($S848&amp;$J848,SorP!C:C,0))))</f>
        <v/>
      </c>
      <c r="U848" s="168"/>
      <c r="V848" s="169" t="e">
        <f>IF(C848="",NA(),MATCH($B848&amp;$C848,'Smelter Look-up'!$J:$J,0))</f>
        <v>#N/A</v>
      </c>
      <c r="X848" s="170">
        <f t="shared" ca="1" si="68"/>
        <v>0</v>
      </c>
      <c r="AB848" s="313" t="str">
        <f t="shared" si="70"/>
        <v/>
      </c>
      <c r="AC848" s="170" t="str">
        <f t="shared" si="71"/>
        <v/>
      </c>
      <c r="AD848" s="170" t="str">
        <f t="shared" si="72"/>
        <v/>
      </c>
    </row>
    <row r="849" spans="1:30" s="170" customFormat="1" ht="20.399999999999999">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69"/>
        <v/>
      </c>
      <c r="T849" s="155" t="str">
        <f ca="1">IF(B849="","",IF(ISERROR(MATCH($J849,SorP!$B$1:$B$6226,0)),"",INDIRECT("'SorP'!$A$"&amp;MATCH($S849&amp;$J849,SorP!C:C,0))))</f>
        <v/>
      </c>
      <c r="U849" s="168"/>
      <c r="V849" s="169" t="e">
        <f>IF(C849="",NA(),MATCH($B849&amp;$C849,'Smelter Look-up'!$J:$J,0))</f>
        <v>#N/A</v>
      </c>
      <c r="X849" s="170">
        <f t="shared" ca="1" si="68"/>
        <v>0</v>
      </c>
      <c r="AB849" s="313" t="str">
        <f t="shared" si="70"/>
        <v/>
      </c>
      <c r="AC849" s="170" t="str">
        <f t="shared" si="71"/>
        <v/>
      </c>
      <c r="AD849" s="170" t="str">
        <f t="shared" si="72"/>
        <v/>
      </c>
    </row>
    <row r="850" spans="1:30" s="170" customFormat="1" ht="20.399999999999999">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69"/>
        <v/>
      </c>
      <c r="T850" s="155" t="str">
        <f ca="1">IF(B850="","",IF(ISERROR(MATCH($J850,SorP!$B$1:$B$6226,0)),"",INDIRECT("'SorP'!$A$"&amp;MATCH($S850&amp;$J850,SorP!C:C,0))))</f>
        <v/>
      </c>
      <c r="U850" s="168"/>
      <c r="V850" s="169" t="e">
        <f>IF(C850="",NA(),MATCH($B850&amp;$C850,'Smelter Look-up'!$J:$J,0))</f>
        <v>#N/A</v>
      </c>
      <c r="X850" s="170">
        <f t="shared" ca="1" si="68"/>
        <v>0</v>
      </c>
      <c r="AB850" s="313" t="str">
        <f t="shared" si="70"/>
        <v/>
      </c>
      <c r="AC850" s="170" t="str">
        <f t="shared" si="71"/>
        <v/>
      </c>
      <c r="AD850" s="170" t="str">
        <f t="shared" si="72"/>
        <v/>
      </c>
    </row>
    <row r="851" spans="1:30" s="170" customFormat="1" ht="20.399999999999999">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69"/>
        <v/>
      </c>
      <c r="T851" s="155" t="str">
        <f ca="1">IF(B851="","",IF(ISERROR(MATCH($J851,SorP!$B$1:$B$6226,0)),"",INDIRECT("'SorP'!$A$"&amp;MATCH($S851&amp;$J851,SorP!C:C,0))))</f>
        <v/>
      </c>
      <c r="U851" s="168"/>
      <c r="V851" s="169" t="e">
        <f>IF(C851="",NA(),MATCH($B851&amp;$C851,'Smelter Look-up'!$J:$J,0))</f>
        <v>#N/A</v>
      </c>
      <c r="X851" s="170">
        <f t="shared" ca="1" si="68"/>
        <v>0</v>
      </c>
      <c r="AB851" s="313" t="str">
        <f t="shared" si="70"/>
        <v/>
      </c>
      <c r="AC851" s="170" t="str">
        <f t="shared" si="71"/>
        <v/>
      </c>
      <c r="AD851" s="170" t="str">
        <f t="shared" si="72"/>
        <v/>
      </c>
    </row>
    <row r="852" spans="1:30" s="170" customFormat="1" ht="20.399999999999999">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69"/>
        <v/>
      </c>
      <c r="T852" s="155" t="str">
        <f ca="1">IF(B852="","",IF(ISERROR(MATCH($J852,SorP!$B$1:$B$6226,0)),"",INDIRECT("'SorP'!$A$"&amp;MATCH($S852&amp;$J852,SorP!C:C,0))))</f>
        <v/>
      </c>
      <c r="U852" s="168"/>
      <c r="V852" s="169" t="e">
        <f>IF(C852="",NA(),MATCH($B852&amp;$C852,'Smelter Look-up'!$J:$J,0))</f>
        <v>#N/A</v>
      </c>
      <c r="X852" s="170">
        <f t="shared" ca="1" si="68"/>
        <v>0</v>
      </c>
      <c r="AB852" s="313" t="str">
        <f t="shared" si="70"/>
        <v/>
      </c>
      <c r="AC852" s="170" t="str">
        <f t="shared" si="71"/>
        <v/>
      </c>
      <c r="AD852" s="170" t="str">
        <f t="shared" si="72"/>
        <v/>
      </c>
    </row>
    <row r="853" spans="1:30" s="170" customFormat="1" ht="20.399999999999999">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69"/>
        <v/>
      </c>
      <c r="T853" s="155" t="str">
        <f ca="1">IF(B853="","",IF(ISERROR(MATCH($J853,SorP!$B$1:$B$6226,0)),"",INDIRECT("'SorP'!$A$"&amp;MATCH($S853&amp;$J853,SorP!C:C,0))))</f>
        <v/>
      </c>
      <c r="U853" s="168"/>
      <c r="V853" s="169" t="e">
        <f>IF(C853="",NA(),MATCH($B853&amp;$C853,'Smelter Look-up'!$J:$J,0))</f>
        <v>#N/A</v>
      </c>
      <c r="X853" s="170">
        <f t="shared" ca="1" si="68"/>
        <v>0</v>
      </c>
      <c r="AB853" s="313" t="str">
        <f t="shared" si="70"/>
        <v/>
      </c>
      <c r="AC853" s="170" t="str">
        <f t="shared" si="71"/>
        <v/>
      </c>
      <c r="AD853" s="170" t="str">
        <f t="shared" si="72"/>
        <v/>
      </c>
    </row>
    <row r="854" spans="1:30" s="170" customFormat="1" ht="20.399999999999999">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69"/>
        <v/>
      </c>
      <c r="T854" s="155" t="str">
        <f ca="1">IF(B854="","",IF(ISERROR(MATCH($J854,SorP!$B$1:$B$6226,0)),"",INDIRECT("'SorP'!$A$"&amp;MATCH($S854&amp;$J854,SorP!C:C,0))))</f>
        <v/>
      </c>
      <c r="U854" s="168"/>
      <c r="V854" s="169" t="e">
        <f>IF(C854="",NA(),MATCH($B854&amp;$C854,'Smelter Look-up'!$J:$J,0))</f>
        <v>#N/A</v>
      </c>
      <c r="X854" s="170">
        <f t="shared" ca="1" si="68"/>
        <v>0</v>
      </c>
      <c r="AB854" s="313" t="str">
        <f t="shared" si="70"/>
        <v/>
      </c>
      <c r="AC854" s="170" t="str">
        <f t="shared" si="71"/>
        <v/>
      </c>
      <c r="AD854" s="170" t="str">
        <f t="shared" si="72"/>
        <v/>
      </c>
    </row>
    <row r="855" spans="1:30" s="170" customFormat="1" ht="20.399999999999999">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69"/>
        <v/>
      </c>
      <c r="T855" s="155" t="str">
        <f ca="1">IF(B855="","",IF(ISERROR(MATCH($J855,SorP!$B$1:$B$6226,0)),"",INDIRECT("'SorP'!$A$"&amp;MATCH($S855&amp;$J855,SorP!C:C,0))))</f>
        <v/>
      </c>
      <c r="U855" s="168"/>
      <c r="V855" s="169" t="e">
        <f>IF(C855="",NA(),MATCH($B855&amp;$C855,'Smelter Look-up'!$J:$J,0))</f>
        <v>#N/A</v>
      </c>
      <c r="X855" s="170">
        <f t="shared" ca="1" si="68"/>
        <v>0</v>
      </c>
      <c r="AB855" s="313" t="str">
        <f t="shared" si="70"/>
        <v/>
      </c>
      <c r="AC855" s="170" t="str">
        <f t="shared" si="71"/>
        <v/>
      </c>
      <c r="AD855" s="170" t="str">
        <f t="shared" si="72"/>
        <v/>
      </c>
    </row>
    <row r="856" spans="1:30" s="170" customFormat="1" ht="20.399999999999999">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69"/>
        <v/>
      </c>
      <c r="T856" s="155" t="str">
        <f ca="1">IF(B856="","",IF(ISERROR(MATCH($J856,SorP!$B$1:$B$6226,0)),"",INDIRECT("'SorP'!$A$"&amp;MATCH($S856&amp;$J856,SorP!C:C,0))))</f>
        <v/>
      </c>
      <c r="U856" s="168"/>
      <c r="V856" s="169" t="e">
        <f>IF(C856="",NA(),MATCH($B856&amp;$C856,'Smelter Look-up'!$J:$J,0))</f>
        <v>#N/A</v>
      </c>
      <c r="X856" s="170">
        <f t="shared" ca="1" si="68"/>
        <v>0</v>
      </c>
      <c r="AB856" s="313" t="str">
        <f t="shared" si="70"/>
        <v/>
      </c>
      <c r="AC856" s="170" t="str">
        <f t="shared" si="71"/>
        <v/>
      </c>
      <c r="AD856" s="170" t="str">
        <f t="shared" si="72"/>
        <v/>
      </c>
    </row>
    <row r="857" spans="1:30" s="170" customFormat="1" ht="20.399999999999999">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69"/>
        <v/>
      </c>
      <c r="T857" s="155" t="str">
        <f ca="1">IF(B857="","",IF(ISERROR(MATCH($J857,SorP!$B$1:$B$6226,0)),"",INDIRECT("'SorP'!$A$"&amp;MATCH($S857&amp;$J857,SorP!C:C,0))))</f>
        <v/>
      </c>
      <c r="U857" s="168"/>
      <c r="V857" s="169" t="e">
        <f>IF(C857="",NA(),MATCH($B857&amp;$C857,'Smelter Look-up'!$J:$J,0))</f>
        <v>#N/A</v>
      </c>
      <c r="X857" s="170">
        <f t="shared" ca="1" si="68"/>
        <v>0</v>
      </c>
      <c r="AB857" s="313" t="str">
        <f t="shared" si="70"/>
        <v/>
      </c>
      <c r="AC857" s="170" t="str">
        <f t="shared" si="71"/>
        <v/>
      </c>
      <c r="AD857" s="170" t="str">
        <f t="shared" si="72"/>
        <v/>
      </c>
    </row>
    <row r="858" spans="1:30" s="170" customFormat="1" ht="20.399999999999999">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69"/>
        <v/>
      </c>
      <c r="T858" s="155" t="str">
        <f ca="1">IF(B858="","",IF(ISERROR(MATCH($J858,SorP!$B$1:$B$6226,0)),"",INDIRECT("'SorP'!$A$"&amp;MATCH($S858&amp;$J858,SorP!C:C,0))))</f>
        <v/>
      </c>
      <c r="U858" s="168"/>
      <c r="V858" s="169" t="e">
        <f>IF(C858="",NA(),MATCH($B858&amp;$C858,'Smelter Look-up'!$J:$J,0))</f>
        <v>#N/A</v>
      </c>
      <c r="X858" s="170">
        <f t="shared" ca="1" si="68"/>
        <v>0</v>
      </c>
      <c r="AB858" s="313" t="str">
        <f t="shared" si="70"/>
        <v/>
      </c>
      <c r="AC858" s="170" t="str">
        <f t="shared" si="71"/>
        <v/>
      </c>
      <c r="AD858" s="170" t="str">
        <f t="shared" si="72"/>
        <v/>
      </c>
    </row>
    <row r="859" spans="1:30" s="170" customFormat="1" ht="20.399999999999999">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69"/>
        <v/>
      </c>
      <c r="T859" s="155" t="str">
        <f ca="1">IF(B859="","",IF(ISERROR(MATCH($J859,SorP!$B$1:$B$6226,0)),"",INDIRECT("'SorP'!$A$"&amp;MATCH($S859&amp;$J859,SorP!C:C,0))))</f>
        <v/>
      </c>
      <c r="U859" s="168"/>
      <c r="V859" s="169" t="e">
        <f>IF(C859="",NA(),MATCH($B859&amp;$C859,'Smelter Look-up'!$J:$J,0))</f>
        <v>#N/A</v>
      </c>
      <c r="X859" s="170">
        <f t="shared" ca="1" si="68"/>
        <v>0</v>
      </c>
      <c r="AB859" s="313" t="str">
        <f t="shared" si="70"/>
        <v/>
      </c>
      <c r="AC859" s="170" t="str">
        <f t="shared" si="71"/>
        <v/>
      </c>
      <c r="AD859" s="170" t="str">
        <f t="shared" si="72"/>
        <v/>
      </c>
    </row>
    <row r="860" spans="1:30" s="170" customFormat="1" ht="20.399999999999999">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69"/>
        <v/>
      </c>
      <c r="T860" s="155" t="str">
        <f ca="1">IF(B860="","",IF(ISERROR(MATCH($J860,SorP!$B$1:$B$6226,0)),"",INDIRECT("'SorP'!$A$"&amp;MATCH($S860&amp;$J860,SorP!C:C,0))))</f>
        <v/>
      </c>
      <c r="U860" s="168"/>
      <c r="V860" s="169" t="e">
        <f>IF(C860="",NA(),MATCH($B860&amp;$C860,'Smelter Look-up'!$J:$J,0))</f>
        <v>#N/A</v>
      </c>
      <c r="X860" s="170">
        <f t="shared" ca="1" si="68"/>
        <v>0</v>
      </c>
      <c r="AB860" s="313" t="str">
        <f t="shared" si="70"/>
        <v/>
      </c>
      <c r="AC860" s="170" t="str">
        <f t="shared" si="71"/>
        <v/>
      </c>
      <c r="AD860" s="170" t="str">
        <f t="shared" si="72"/>
        <v/>
      </c>
    </row>
    <row r="861" spans="1:30" s="170" customFormat="1" ht="20.399999999999999">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69"/>
        <v/>
      </c>
      <c r="T861" s="155" t="str">
        <f ca="1">IF(B861="","",IF(ISERROR(MATCH($J861,SorP!$B$1:$B$6226,0)),"",INDIRECT("'SorP'!$A$"&amp;MATCH($S861&amp;$J861,SorP!C:C,0))))</f>
        <v/>
      </c>
      <c r="U861" s="168"/>
      <c r="V861" s="169" t="e">
        <f>IF(C861="",NA(),MATCH($B861&amp;$C861,'Smelter Look-up'!$J:$J,0))</f>
        <v>#N/A</v>
      </c>
      <c r="X861" s="170">
        <f t="shared" ca="1" si="68"/>
        <v>0</v>
      </c>
      <c r="AB861" s="313" t="str">
        <f t="shared" si="70"/>
        <v/>
      </c>
      <c r="AC861" s="170" t="str">
        <f t="shared" si="71"/>
        <v/>
      </c>
      <c r="AD861" s="170" t="str">
        <f t="shared" si="72"/>
        <v/>
      </c>
    </row>
    <row r="862" spans="1:30" s="170" customFormat="1" ht="20.399999999999999">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69"/>
        <v/>
      </c>
      <c r="T862" s="155" t="str">
        <f ca="1">IF(B862="","",IF(ISERROR(MATCH($J862,SorP!$B$1:$B$6226,0)),"",INDIRECT("'SorP'!$A$"&amp;MATCH($S862&amp;$J862,SorP!C:C,0))))</f>
        <v/>
      </c>
      <c r="U862" s="168"/>
      <c r="V862" s="169" t="e">
        <f>IF(C862="",NA(),MATCH($B862&amp;$C862,'Smelter Look-up'!$J:$J,0))</f>
        <v>#N/A</v>
      </c>
      <c r="X862" s="170">
        <f t="shared" ca="1" si="68"/>
        <v>0</v>
      </c>
      <c r="AB862" s="313" t="str">
        <f t="shared" si="70"/>
        <v/>
      </c>
      <c r="AC862" s="170" t="str">
        <f t="shared" si="71"/>
        <v/>
      </c>
      <c r="AD862" s="170" t="str">
        <f t="shared" si="72"/>
        <v/>
      </c>
    </row>
    <row r="863" spans="1:30" s="170" customFormat="1" ht="20.399999999999999">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69"/>
        <v/>
      </c>
      <c r="T863" s="155" t="str">
        <f ca="1">IF(B863="","",IF(ISERROR(MATCH($J863,SorP!$B$1:$B$6226,0)),"",INDIRECT("'SorP'!$A$"&amp;MATCH($S863&amp;$J863,SorP!C:C,0))))</f>
        <v/>
      </c>
      <c r="U863" s="168"/>
      <c r="V863" s="169" t="e">
        <f>IF(C863="",NA(),MATCH($B863&amp;$C863,'Smelter Look-up'!$J:$J,0))</f>
        <v>#N/A</v>
      </c>
      <c r="X863" s="170">
        <f t="shared" ca="1" si="68"/>
        <v>0</v>
      </c>
      <c r="AB863" s="313" t="str">
        <f t="shared" si="70"/>
        <v/>
      </c>
      <c r="AC863" s="170" t="str">
        <f t="shared" si="71"/>
        <v/>
      </c>
      <c r="AD863" s="170" t="str">
        <f t="shared" si="72"/>
        <v/>
      </c>
    </row>
    <row r="864" spans="1:30" s="170" customFormat="1" ht="20.399999999999999">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69"/>
        <v/>
      </c>
      <c r="T864" s="155" t="str">
        <f ca="1">IF(B864="","",IF(ISERROR(MATCH($J864,SorP!$B$1:$B$6226,0)),"",INDIRECT("'SorP'!$A$"&amp;MATCH($S864&amp;$J864,SorP!C:C,0))))</f>
        <v/>
      </c>
      <c r="U864" s="168"/>
      <c r="V864" s="169" t="e">
        <f>IF(C864="",NA(),MATCH($B864&amp;$C864,'Smelter Look-up'!$J:$J,0))</f>
        <v>#N/A</v>
      </c>
      <c r="X864" s="170">
        <f t="shared" ca="1" si="68"/>
        <v>0</v>
      </c>
      <c r="AB864" s="313" t="str">
        <f t="shared" si="70"/>
        <v/>
      </c>
      <c r="AC864" s="170" t="str">
        <f t="shared" si="71"/>
        <v/>
      </c>
      <c r="AD864" s="170" t="str">
        <f t="shared" si="72"/>
        <v/>
      </c>
    </row>
    <row r="865" spans="1:30" s="170" customFormat="1" ht="20.399999999999999">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69"/>
        <v/>
      </c>
      <c r="T865" s="155" t="str">
        <f ca="1">IF(B865="","",IF(ISERROR(MATCH($J865,SorP!$B$1:$B$6226,0)),"",INDIRECT("'SorP'!$A$"&amp;MATCH($S865&amp;$J865,SorP!C:C,0))))</f>
        <v/>
      </c>
      <c r="U865" s="168"/>
      <c r="V865" s="169" t="e">
        <f>IF(C865="",NA(),MATCH($B865&amp;$C865,'Smelter Look-up'!$J:$J,0))</f>
        <v>#N/A</v>
      </c>
      <c r="X865" s="170">
        <f t="shared" ca="1" si="68"/>
        <v>0</v>
      </c>
      <c r="AB865" s="313" t="str">
        <f t="shared" si="70"/>
        <v/>
      </c>
      <c r="AC865" s="170" t="str">
        <f t="shared" si="71"/>
        <v/>
      </c>
      <c r="AD865" s="170" t="str">
        <f t="shared" si="72"/>
        <v/>
      </c>
    </row>
    <row r="866" spans="1:30" s="170" customFormat="1" ht="20.399999999999999">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69"/>
        <v/>
      </c>
      <c r="T866" s="155" t="str">
        <f ca="1">IF(B866="","",IF(ISERROR(MATCH($J866,SorP!$B$1:$B$6226,0)),"",INDIRECT("'SorP'!$A$"&amp;MATCH($S866&amp;$J866,SorP!C:C,0))))</f>
        <v/>
      </c>
      <c r="U866" s="168"/>
      <c r="V866" s="169" t="e">
        <f>IF(C866="",NA(),MATCH($B866&amp;$C866,'Smelter Look-up'!$J:$J,0))</f>
        <v>#N/A</v>
      </c>
      <c r="X866" s="170">
        <f t="shared" ca="1" si="68"/>
        <v>0</v>
      </c>
      <c r="AB866" s="313" t="str">
        <f t="shared" si="70"/>
        <v/>
      </c>
      <c r="AC866" s="170" t="str">
        <f t="shared" si="71"/>
        <v/>
      </c>
      <c r="AD866" s="170" t="str">
        <f t="shared" si="72"/>
        <v/>
      </c>
    </row>
    <row r="867" spans="1:30" s="170" customFormat="1" ht="20.399999999999999">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69"/>
        <v/>
      </c>
      <c r="T867" s="155" t="str">
        <f ca="1">IF(B867="","",IF(ISERROR(MATCH($J867,SorP!$B$1:$B$6226,0)),"",INDIRECT("'SorP'!$A$"&amp;MATCH($S867&amp;$J867,SorP!C:C,0))))</f>
        <v/>
      </c>
      <c r="U867" s="168"/>
      <c r="V867" s="169" t="e">
        <f>IF(C867="",NA(),MATCH($B867&amp;$C867,'Smelter Look-up'!$J:$J,0))</f>
        <v>#N/A</v>
      </c>
      <c r="X867" s="170">
        <f t="shared" ca="1" si="68"/>
        <v>0</v>
      </c>
      <c r="AB867" s="313" t="str">
        <f t="shared" si="70"/>
        <v/>
      </c>
      <c r="AC867" s="170" t="str">
        <f t="shared" si="71"/>
        <v/>
      </c>
      <c r="AD867" s="170" t="str">
        <f t="shared" si="72"/>
        <v/>
      </c>
    </row>
    <row r="868" spans="1:30" s="170" customFormat="1" ht="20.399999999999999">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69"/>
        <v/>
      </c>
      <c r="T868" s="155" t="str">
        <f ca="1">IF(B868="","",IF(ISERROR(MATCH($J868,SorP!$B$1:$B$6226,0)),"",INDIRECT("'SorP'!$A$"&amp;MATCH($S868&amp;$J868,SorP!C:C,0))))</f>
        <v/>
      </c>
      <c r="U868" s="168"/>
      <c r="V868" s="169" t="e">
        <f>IF(C868="",NA(),MATCH($B868&amp;$C868,'Smelter Look-up'!$J:$J,0))</f>
        <v>#N/A</v>
      </c>
      <c r="X868" s="170">
        <f t="shared" ca="1" si="68"/>
        <v>0</v>
      </c>
      <c r="AB868" s="313" t="str">
        <f t="shared" si="70"/>
        <v/>
      </c>
      <c r="AC868" s="170" t="str">
        <f t="shared" si="71"/>
        <v/>
      </c>
      <c r="AD868" s="170" t="str">
        <f t="shared" si="72"/>
        <v/>
      </c>
    </row>
    <row r="869" spans="1:30" s="170" customFormat="1" ht="20.399999999999999">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69"/>
        <v/>
      </c>
      <c r="T869" s="155" t="str">
        <f ca="1">IF(B869="","",IF(ISERROR(MATCH($J869,SorP!$B$1:$B$6226,0)),"",INDIRECT("'SorP'!$A$"&amp;MATCH($S869&amp;$J869,SorP!C:C,0))))</f>
        <v/>
      </c>
      <c r="U869" s="168"/>
      <c r="V869" s="169" t="e">
        <f>IF(C869="",NA(),MATCH($B869&amp;$C869,'Smelter Look-up'!$J:$J,0))</f>
        <v>#N/A</v>
      </c>
      <c r="X869" s="170">
        <f t="shared" ca="1" si="68"/>
        <v>0</v>
      </c>
      <c r="AB869" s="313" t="str">
        <f t="shared" si="70"/>
        <v/>
      </c>
      <c r="AC869" s="170" t="str">
        <f t="shared" si="71"/>
        <v/>
      </c>
      <c r="AD869" s="170" t="str">
        <f t="shared" si="72"/>
        <v/>
      </c>
    </row>
    <row r="870" spans="1:30" s="170" customFormat="1" ht="20.399999999999999">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69"/>
        <v/>
      </c>
      <c r="T870" s="155" t="str">
        <f ca="1">IF(B870="","",IF(ISERROR(MATCH($J870,SorP!$B$1:$B$6226,0)),"",INDIRECT("'SorP'!$A$"&amp;MATCH($S870&amp;$J870,SorP!C:C,0))))</f>
        <v/>
      </c>
      <c r="U870" s="168"/>
      <c r="V870" s="169" t="e">
        <f>IF(C870="",NA(),MATCH($B870&amp;$C870,'Smelter Look-up'!$J:$J,0))</f>
        <v>#N/A</v>
      </c>
      <c r="X870" s="170">
        <f t="shared" ca="1" si="68"/>
        <v>0</v>
      </c>
      <c r="AB870" s="313" t="str">
        <f t="shared" si="70"/>
        <v/>
      </c>
      <c r="AC870" s="170" t="str">
        <f t="shared" si="71"/>
        <v/>
      </c>
      <c r="AD870" s="170" t="str">
        <f t="shared" si="72"/>
        <v/>
      </c>
    </row>
    <row r="871" spans="1:30" s="170" customFormat="1" ht="20.399999999999999">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69"/>
        <v/>
      </c>
      <c r="T871" s="155" t="str">
        <f ca="1">IF(B871="","",IF(ISERROR(MATCH($J871,SorP!$B$1:$B$6226,0)),"",INDIRECT("'SorP'!$A$"&amp;MATCH($S871&amp;$J871,SorP!C:C,0))))</f>
        <v/>
      </c>
      <c r="U871" s="168"/>
      <c r="V871" s="169" t="e">
        <f>IF(C871="",NA(),MATCH($B871&amp;$C871,'Smelter Look-up'!$J:$J,0))</f>
        <v>#N/A</v>
      </c>
      <c r="X871" s="170">
        <f t="shared" ca="1" si="68"/>
        <v>0</v>
      </c>
      <c r="AB871" s="313" t="str">
        <f t="shared" si="70"/>
        <v/>
      </c>
      <c r="AC871" s="170" t="str">
        <f t="shared" si="71"/>
        <v/>
      </c>
      <c r="AD871" s="170" t="str">
        <f t="shared" si="72"/>
        <v/>
      </c>
    </row>
    <row r="872" spans="1:30" s="170" customFormat="1" ht="20.399999999999999">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69"/>
        <v/>
      </c>
      <c r="T872" s="155" t="str">
        <f ca="1">IF(B872="","",IF(ISERROR(MATCH($J872,SorP!$B$1:$B$6226,0)),"",INDIRECT("'SorP'!$A$"&amp;MATCH($S872&amp;$J872,SorP!C:C,0))))</f>
        <v/>
      </c>
      <c r="U872" s="168"/>
      <c r="V872" s="169" t="e">
        <f>IF(C872="",NA(),MATCH($B872&amp;$C872,'Smelter Look-up'!$J:$J,0))</f>
        <v>#N/A</v>
      </c>
      <c r="X872" s="170">
        <f t="shared" ca="1" si="68"/>
        <v>0</v>
      </c>
      <c r="AB872" s="313" t="str">
        <f t="shared" si="70"/>
        <v/>
      </c>
      <c r="AC872" s="170" t="str">
        <f t="shared" si="71"/>
        <v/>
      </c>
      <c r="AD872" s="170" t="str">
        <f t="shared" si="72"/>
        <v/>
      </c>
    </row>
    <row r="873" spans="1:30" s="170" customFormat="1" ht="20.399999999999999">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69"/>
        <v/>
      </c>
      <c r="T873" s="155" t="str">
        <f ca="1">IF(B873="","",IF(ISERROR(MATCH($J873,SorP!$B$1:$B$6226,0)),"",INDIRECT("'SorP'!$A$"&amp;MATCH($S873&amp;$J873,SorP!C:C,0))))</f>
        <v/>
      </c>
      <c r="U873" s="168"/>
      <c r="V873" s="169" t="e">
        <f>IF(C873="",NA(),MATCH($B873&amp;$C873,'Smelter Look-up'!$J:$J,0))</f>
        <v>#N/A</v>
      </c>
      <c r="X873" s="170">
        <f t="shared" ca="1" si="68"/>
        <v>0</v>
      </c>
      <c r="AB873" s="313" t="str">
        <f t="shared" si="70"/>
        <v/>
      </c>
      <c r="AC873" s="170" t="str">
        <f t="shared" si="71"/>
        <v/>
      </c>
      <c r="AD873" s="170" t="str">
        <f t="shared" si="72"/>
        <v/>
      </c>
    </row>
    <row r="874" spans="1:30" s="170" customFormat="1" ht="20.399999999999999">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69"/>
        <v/>
      </c>
      <c r="T874" s="155" t="str">
        <f ca="1">IF(B874="","",IF(ISERROR(MATCH($J874,SorP!$B$1:$B$6226,0)),"",INDIRECT("'SorP'!$A$"&amp;MATCH($S874&amp;$J874,SorP!C:C,0))))</f>
        <v/>
      </c>
      <c r="U874" s="168"/>
      <c r="V874" s="169" t="e">
        <f>IF(C874="",NA(),MATCH($B874&amp;$C874,'Smelter Look-up'!$J:$J,0))</f>
        <v>#N/A</v>
      </c>
      <c r="X874" s="170">
        <f t="shared" ca="1" si="68"/>
        <v>0</v>
      </c>
      <c r="AB874" s="313" t="str">
        <f t="shared" si="70"/>
        <v/>
      </c>
      <c r="AC874" s="170" t="str">
        <f t="shared" si="71"/>
        <v/>
      </c>
      <c r="AD874" s="170" t="str">
        <f t="shared" si="72"/>
        <v/>
      </c>
    </row>
    <row r="875" spans="1:30" s="170" customFormat="1" ht="20.399999999999999">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69"/>
        <v/>
      </c>
      <c r="T875" s="155" t="str">
        <f ca="1">IF(B875="","",IF(ISERROR(MATCH($J875,SorP!$B$1:$B$6226,0)),"",INDIRECT("'SorP'!$A$"&amp;MATCH($S875&amp;$J875,SorP!C:C,0))))</f>
        <v/>
      </c>
      <c r="U875" s="168"/>
      <c r="V875" s="169" t="e">
        <f>IF(C875="",NA(),MATCH($B875&amp;$C875,'Smelter Look-up'!$J:$J,0))</f>
        <v>#N/A</v>
      </c>
      <c r="X875" s="170">
        <f t="shared" ca="1" si="68"/>
        <v>0</v>
      </c>
      <c r="AB875" s="313" t="str">
        <f t="shared" si="70"/>
        <v/>
      </c>
      <c r="AC875" s="170" t="str">
        <f t="shared" si="71"/>
        <v/>
      </c>
      <c r="AD875" s="170" t="str">
        <f t="shared" si="72"/>
        <v/>
      </c>
    </row>
    <row r="876" spans="1:30" s="170" customFormat="1" ht="20.399999999999999">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69"/>
        <v/>
      </c>
      <c r="T876" s="155" t="str">
        <f ca="1">IF(B876="","",IF(ISERROR(MATCH($J876,SorP!$B$1:$B$6226,0)),"",INDIRECT("'SorP'!$A$"&amp;MATCH($S876&amp;$J876,SorP!C:C,0))))</f>
        <v/>
      </c>
      <c r="U876" s="168"/>
      <c r="V876" s="169" t="e">
        <f>IF(C876="",NA(),MATCH($B876&amp;$C876,'Smelter Look-up'!$J:$J,0))</f>
        <v>#N/A</v>
      </c>
      <c r="X876" s="170">
        <f t="shared" ca="1" si="68"/>
        <v>0</v>
      </c>
      <c r="AB876" s="313" t="str">
        <f t="shared" si="70"/>
        <v/>
      </c>
      <c r="AC876" s="170" t="str">
        <f t="shared" si="71"/>
        <v/>
      </c>
      <c r="AD876" s="170" t="str">
        <f t="shared" si="72"/>
        <v/>
      </c>
    </row>
    <row r="877" spans="1:30" s="170" customFormat="1" ht="20.399999999999999">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69"/>
        <v/>
      </c>
      <c r="T877" s="155" t="str">
        <f ca="1">IF(B877="","",IF(ISERROR(MATCH($J877,SorP!$B$1:$B$6226,0)),"",INDIRECT("'SorP'!$A$"&amp;MATCH($S877&amp;$J877,SorP!C:C,0))))</f>
        <v/>
      </c>
      <c r="U877" s="168"/>
      <c r="V877" s="169" t="e">
        <f>IF(C877="",NA(),MATCH($B877&amp;$C877,'Smelter Look-up'!$J:$J,0))</f>
        <v>#N/A</v>
      </c>
      <c r="X877" s="170">
        <f t="shared" ca="1" si="68"/>
        <v>0</v>
      </c>
      <c r="AB877" s="313" t="str">
        <f t="shared" si="70"/>
        <v/>
      </c>
      <c r="AC877" s="170" t="str">
        <f t="shared" si="71"/>
        <v/>
      </c>
      <c r="AD877" s="170" t="str">
        <f t="shared" si="72"/>
        <v/>
      </c>
    </row>
    <row r="878" spans="1:30" s="170" customFormat="1" ht="20.399999999999999">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69"/>
        <v/>
      </c>
      <c r="T878" s="155" t="str">
        <f ca="1">IF(B878="","",IF(ISERROR(MATCH($J878,SorP!$B$1:$B$6226,0)),"",INDIRECT("'SorP'!$A$"&amp;MATCH($S878&amp;$J878,SorP!C:C,0))))</f>
        <v/>
      </c>
      <c r="U878" s="168"/>
      <c r="V878" s="169" t="e">
        <f>IF(C878="",NA(),MATCH($B878&amp;$C878,'Smelter Look-up'!$J:$J,0))</f>
        <v>#N/A</v>
      </c>
      <c r="X878" s="170">
        <f t="shared" ca="1" si="68"/>
        <v>0</v>
      </c>
      <c r="AB878" s="313" t="str">
        <f t="shared" si="70"/>
        <v/>
      </c>
      <c r="AC878" s="170" t="str">
        <f t="shared" si="71"/>
        <v/>
      </c>
      <c r="AD878" s="170" t="str">
        <f t="shared" si="72"/>
        <v/>
      </c>
    </row>
    <row r="879" spans="1:30" s="170" customFormat="1" ht="20.399999999999999">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69"/>
        <v/>
      </c>
      <c r="T879" s="155" t="str">
        <f ca="1">IF(B879="","",IF(ISERROR(MATCH($J879,SorP!$B$1:$B$6226,0)),"",INDIRECT("'SorP'!$A$"&amp;MATCH($S879&amp;$J879,SorP!C:C,0))))</f>
        <v/>
      </c>
      <c r="U879" s="168"/>
      <c r="V879" s="169" t="e">
        <f>IF(C879="",NA(),MATCH($B879&amp;$C879,'Smelter Look-up'!$J:$J,0))</f>
        <v>#N/A</v>
      </c>
      <c r="X879" s="170">
        <f t="shared" ca="1" si="68"/>
        <v>0</v>
      </c>
      <c r="AB879" s="313" t="str">
        <f t="shared" si="70"/>
        <v/>
      </c>
      <c r="AC879" s="170" t="str">
        <f t="shared" si="71"/>
        <v/>
      </c>
      <c r="AD879" s="170" t="str">
        <f t="shared" si="72"/>
        <v/>
      </c>
    </row>
    <row r="880" spans="1:30" s="170" customFormat="1" ht="20.399999999999999">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69"/>
        <v/>
      </c>
      <c r="T880" s="155" t="str">
        <f ca="1">IF(B880="","",IF(ISERROR(MATCH($J880,SorP!$B$1:$B$6226,0)),"",INDIRECT("'SorP'!$A$"&amp;MATCH($S880&amp;$J880,SorP!C:C,0))))</f>
        <v/>
      </c>
      <c r="U880" s="168"/>
      <c r="V880" s="169" t="e">
        <f>IF(C880="",NA(),MATCH($B880&amp;$C880,'Smelter Look-up'!$J:$J,0))</f>
        <v>#N/A</v>
      </c>
      <c r="X880" s="170">
        <f t="shared" ca="1" si="68"/>
        <v>0</v>
      </c>
      <c r="AB880" s="313" t="str">
        <f t="shared" si="70"/>
        <v/>
      </c>
      <c r="AC880" s="170" t="str">
        <f t="shared" si="71"/>
        <v/>
      </c>
      <c r="AD880" s="170" t="str">
        <f t="shared" si="72"/>
        <v/>
      </c>
    </row>
    <row r="881" spans="1:30" s="170" customFormat="1" ht="20.399999999999999">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69"/>
        <v/>
      </c>
      <c r="T881" s="155" t="str">
        <f ca="1">IF(B881="","",IF(ISERROR(MATCH($J881,SorP!$B$1:$B$6226,0)),"",INDIRECT("'SorP'!$A$"&amp;MATCH($S881&amp;$J881,SorP!C:C,0))))</f>
        <v/>
      </c>
      <c r="U881" s="168"/>
      <c r="V881" s="169" t="e">
        <f>IF(C881="",NA(),MATCH($B881&amp;$C881,'Smelter Look-up'!$J:$J,0))</f>
        <v>#N/A</v>
      </c>
      <c r="X881" s="170">
        <f t="shared" ca="1" si="68"/>
        <v>0</v>
      </c>
      <c r="AB881" s="313" t="str">
        <f t="shared" si="70"/>
        <v/>
      </c>
      <c r="AC881" s="170" t="str">
        <f t="shared" si="71"/>
        <v/>
      </c>
      <c r="AD881" s="170" t="str">
        <f t="shared" si="72"/>
        <v/>
      </c>
    </row>
    <row r="882" spans="1:30" s="170" customFormat="1" ht="20.399999999999999">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69"/>
        <v/>
      </c>
      <c r="T882" s="155" t="str">
        <f ca="1">IF(B882="","",IF(ISERROR(MATCH($J882,SorP!$B$1:$B$6226,0)),"",INDIRECT("'SorP'!$A$"&amp;MATCH($S882&amp;$J882,SorP!C:C,0))))</f>
        <v/>
      </c>
      <c r="U882" s="168"/>
      <c r="V882" s="169" t="e">
        <f>IF(C882="",NA(),MATCH($B882&amp;$C882,'Smelter Look-up'!$J:$J,0))</f>
        <v>#N/A</v>
      </c>
      <c r="X882" s="170">
        <f t="shared" ca="1" si="68"/>
        <v>0</v>
      </c>
      <c r="AB882" s="313" t="str">
        <f t="shared" si="70"/>
        <v/>
      </c>
      <c r="AC882" s="170" t="str">
        <f t="shared" si="71"/>
        <v/>
      </c>
      <c r="AD882" s="170" t="str">
        <f t="shared" si="72"/>
        <v/>
      </c>
    </row>
    <row r="883" spans="1:30" s="170" customFormat="1" ht="20.399999999999999">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69"/>
        <v/>
      </c>
      <c r="T883" s="155" t="str">
        <f ca="1">IF(B883="","",IF(ISERROR(MATCH($J883,SorP!$B$1:$B$6226,0)),"",INDIRECT("'SorP'!$A$"&amp;MATCH($S883&amp;$J883,SorP!C:C,0))))</f>
        <v/>
      </c>
      <c r="U883" s="168"/>
      <c r="V883" s="169" t="e">
        <f>IF(C883="",NA(),MATCH($B883&amp;$C883,'Smelter Look-up'!$J:$J,0))</f>
        <v>#N/A</v>
      </c>
      <c r="X883" s="170">
        <f t="shared" ca="1" si="68"/>
        <v>0</v>
      </c>
      <c r="AB883" s="313" t="str">
        <f t="shared" si="70"/>
        <v/>
      </c>
      <c r="AC883" s="170" t="str">
        <f t="shared" si="71"/>
        <v/>
      </c>
      <c r="AD883" s="170" t="str">
        <f t="shared" si="72"/>
        <v/>
      </c>
    </row>
    <row r="884" spans="1:30" s="170" customFormat="1" ht="20.399999999999999">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69"/>
        <v/>
      </c>
      <c r="T884" s="155" t="str">
        <f ca="1">IF(B884="","",IF(ISERROR(MATCH($J884,SorP!$B$1:$B$6226,0)),"",INDIRECT("'SorP'!$A$"&amp;MATCH($S884&amp;$J884,SorP!C:C,0))))</f>
        <v/>
      </c>
      <c r="U884" s="168"/>
      <c r="V884" s="169" t="e">
        <f>IF(C884="",NA(),MATCH($B884&amp;$C884,'Smelter Look-up'!$J:$J,0))</f>
        <v>#N/A</v>
      </c>
      <c r="X884" s="170">
        <f t="shared" ca="1" si="68"/>
        <v>0</v>
      </c>
      <c r="AB884" s="313" t="str">
        <f t="shared" si="70"/>
        <v/>
      </c>
      <c r="AC884" s="170" t="str">
        <f t="shared" si="71"/>
        <v/>
      </c>
      <c r="AD884" s="170" t="str">
        <f t="shared" si="72"/>
        <v/>
      </c>
    </row>
    <row r="885" spans="1:30" s="170" customFormat="1" ht="20.399999999999999">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69"/>
        <v/>
      </c>
      <c r="T885" s="155" t="str">
        <f ca="1">IF(B885="","",IF(ISERROR(MATCH($J885,SorP!$B$1:$B$6226,0)),"",INDIRECT("'SorP'!$A$"&amp;MATCH($S885&amp;$J885,SorP!C:C,0))))</f>
        <v/>
      </c>
      <c r="U885" s="168"/>
      <c r="V885" s="169" t="e">
        <f>IF(C885="",NA(),MATCH($B885&amp;$C885,'Smelter Look-up'!$J:$J,0))</f>
        <v>#N/A</v>
      </c>
      <c r="X885" s="170">
        <f t="shared" ca="1" si="68"/>
        <v>0</v>
      </c>
      <c r="AB885" s="313" t="str">
        <f t="shared" si="70"/>
        <v/>
      </c>
      <c r="AC885" s="170" t="str">
        <f t="shared" si="71"/>
        <v/>
      </c>
      <c r="AD885" s="170" t="str">
        <f t="shared" si="72"/>
        <v/>
      </c>
    </row>
    <row r="886" spans="1:30" s="170" customFormat="1" ht="20.399999999999999">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69"/>
        <v/>
      </c>
      <c r="T886" s="155" t="str">
        <f ca="1">IF(B886="","",IF(ISERROR(MATCH($J886,SorP!$B$1:$B$6226,0)),"",INDIRECT("'SorP'!$A$"&amp;MATCH($S886&amp;$J886,SorP!C:C,0))))</f>
        <v/>
      </c>
      <c r="U886" s="168"/>
      <c r="V886" s="169" t="e">
        <f>IF(C886="",NA(),MATCH($B886&amp;$C886,'Smelter Look-up'!$J:$J,0))</f>
        <v>#N/A</v>
      </c>
      <c r="X886" s="170">
        <f t="shared" ca="1" si="68"/>
        <v>0</v>
      </c>
      <c r="AB886" s="313" t="str">
        <f t="shared" si="70"/>
        <v/>
      </c>
      <c r="AC886" s="170" t="str">
        <f t="shared" si="71"/>
        <v/>
      </c>
      <c r="AD886" s="170" t="str">
        <f t="shared" si="72"/>
        <v/>
      </c>
    </row>
    <row r="887" spans="1:30" s="170" customFormat="1" ht="20.399999999999999">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69"/>
        <v/>
      </c>
      <c r="T887" s="155" t="str">
        <f ca="1">IF(B887="","",IF(ISERROR(MATCH($J887,SorP!$B$1:$B$6226,0)),"",INDIRECT("'SorP'!$A$"&amp;MATCH($S887&amp;$J887,SorP!C:C,0))))</f>
        <v/>
      </c>
      <c r="U887" s="168"/>
      <c r="V887" s="169" t="e">
        <f>IF(C887="",NA(),MATCH($B887&amp;$C887,'Smelter Look-up'!$J:$J,0))</f>
        <v>#N/A</v>
      </c>
      <c r="X887" s="170">
        <f t="shared" ca="1" si="68"/>
        <v>0</v>
      </c>
      <c r="AB887" s="313" t="str">
        <f t="shared" si="70"/>
        <v/>
      </c>
      <c r="AC887" s="170" t="str">
        <f t="shared" si="71"/>
        <v/>
      </c>
      <c r="AD887" s="170" t="str">
        <f t="shared" si="72"/>
        <v/>
      </c>
    </row>
    <row r="888" spans="1:30" s="170" customFormat="1" ht="20.399999999999999">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69"/>
        <v/>
      </c>
      <c r="T888" s="155" t="str">
        <f ca="1">IF(B888="","",IF(ISERROR(MATCH($J888,SorP!$B$1:$B$6226,0)),"",INDIRECT("'SorP'!$A$"&amp;MATCH($S888&amp;$J888,SorP!C:C,0))))</f>
        <v/>
      </c>
      <c r="U888" s="168"/>
      <c r="V888" s="169" t="e">
        <f>IF(C888="",NA(),MATCH($B888&amp;$C888,'Smelter Look-up'!$J:$J,0))</f>
        <v>#N/A</v>
      </c>
      <c r="X888" s="170">
        <f t="shared" ca="1" si="68"/>
        <v>0</v>
      </c>
      <c r="AB888" s="313" t="str">
        <f t="shared" si="70"/>
        <v/>
      </c>
      <c r="AC888" s="170" t="str">
        <f t="shared" si="71"/>
        <v/>
      </c>
      <c r="AD888" s="170" t="str">
        <f t="shared" si="72"/>
        <v/>
      </c>
    </row>
    <row r="889" spans="1:30" s="170" customFormat="1" ht="20.399999999999999">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69"/>
        <v/>
      </c>
      <c r="T889" s="155" t="str">
        <f ca="1">IF(B889="","",IF(ISERROR(MATCH($J889,SorP!$B$1:$B$6226,0)),"",INDIRECT("'SorP'!$A$"&amp;MATCH($S889&amp;$J889,SorP!C:C,0))))</f>
        <v/>
      </c>
      <c r="U889" s="168"/>
      <c r="V889" s="169" t="e">
        <f>IF(C889="",NA(),MATCH($B889&amp;$C889,'Smelter Look-up'!$J:$J,0))</f>
        <v>#N/A</v>
      </c>
      <c r="X889" s="170">
        <f t="shared" ca="1" si="68"/>
        <v>0</v>
      </c>
      <c r="AB889" s="313" t="str">
        <f t="shared" si="70"/>
        <v/>
      </c>
      <c r="AC889" s="170" t="str">
        <f t="shared" si="71"/>
        <v/>
      </c>
      <c r="AD889" s="170" t="str">
        <f t="shared" si="72"/>
        <v/>
      </c>
    </row>
    <row r="890" spans="1:30" s="170" customFormat="1" ht="20.399999999999999">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69"/>
        <v/>
      </c>
      <c r="T890" s="155" t="str">
        <f ca="1">IF(B890="","",IF(ISERROR(MATCH($J890,SorP!$B$1:$B$6226,0)),"",INDIRECT("'SorP'!$A$"&amp;MATCH($S890&amp;$J890,SorP!C:C,0))))</f>
        <v/>
      </c>
      <c r="U890" s="168"/>
      <c r="V890" s="169" t="e">
        <f>IF(C890="",NA(),MATCH($B890&amp;$C890,'Smelter Look-up'!$J:$J,0))</f>
        <v>#N/A</v>
      </c>
      <c r="X890" s="170">
        <f t="shared" ca="1" si="68"/>
        <v>0</v>
      </c>
      <c r="AB890" s="313" t="str">
        <f t="shared" si="70"/>
        <v/>
      </c>
      <c r="AC890" s="170" t="str">
        <f t="shared" si="71"/>
        <v/>
      </c>
      <c r="AD890" s="170" t="str">
        <f t="shared" si="72"/>
        <v/>
      </c>
    </row>
    <row r="891" spans="1:30" s="170" customFormat="1" ht="20.399999999999999">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69"/>
        <v/>
      </c>
      <c r="T891" s="155" t="str">
        <f ca="1">IF(B891="","",IF(ISERROR(MATCH($J891,SorP!$B$1:$B$6226,0)),"",INDIRECT("'SorP'!$A$"&amp;MATCH($S891&amp;$J891,SorP!C:C,0))))</f>
        <v/>
      </c>
      <c r="U891" s="168"/>
      <c r="V891" s="169" t="e">
        <f>IF(C891="",NA(),MATCH($B891&amp;$C891,'Smelter Look-up'!$J:$J,0))</f>
        <v>#N/A</v>
      </c>
      <c r="X891" s="170">
        <f t="shared" ca="1" si="68"/>
        <v>0</v>
      </c>
      <c r="AB891" s="313" t="str">
        <f t="shared" si="70"/>
        <v/>
      </c>
      <c r="AC891" s="170" t="str">
        <f t="shared" si="71"/>
        <v/>
      </c>
      <c r="AD891" s="170" t="str">
        <f t="shared" si="72"/>
        <v/>
      </c>
    </row>
    <row r="892" spans="1:30" s="170" customFormat="1" ht="20.399999999999999">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69"/>
        <v/>
      </c>
      <c r="T892" s="155" t="str">
        <f ca="1">IF(B892="","",IF(ISERROR(MATCH($J892,SorP!$B$1:$B$6226,0)),"",INDIRECT("'SorP'!$A$"&amp;MATCH($S892&amp;$J892,SorP!C:C,0))))</f>
        <v/>
      </c>
      <c r="U892" s="168"/>
      <c r="V892" s="169" t="e">
        <f>IF(C892="",NA(),MATCH($B892&amp;$C892,'Smelter Look-up'!$J:$J,0))</f>
        <v>#N/A</v>
      </c>
      <c r="X892" s="170">
        <f t="shared" ca="1" si="68"/>
        <v>0</v>
      </c>
      <c r="AB892" s="313" t="str">
        <f t="shared" si="70"/>
        <v/>
      </c>
      <c r="AC892" s="170" t="str">
        <f t="shared" si="71"/>
        <v/>
      </c>
      <c r="AD892" s="170" t="str">
        <f t="shared" si="72"/>
        <v/>
      </c>
    </row>
    <row r="893" spans="1:30" s="170" customFormat="1" ht="20.399999999999999">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69"/>
        <v/>
      </c>
      <c r="T893" s="155" t="str">
        <f ca="1">IF(B893="","",IF(ISERROR(MATCH($J893,SorP!$B$1:$B$6226,0)),"",INDIRECT("'SorP'!$A$"&amp;MATCH($S893&amp;$J893,SorP!C:C,0))))</f>
        <v/>
      </c>
      <c r="U893" s="168"/>
      <c r="V893" s="169" t="e">
        <f>IF(C893="",NA(),MATCH($B893&amp;$C893,'Smelter Look-up'!$J:$J,0))</f>
        <v>#N/A</v>
      </c>
      <c r="X893" s="170">
        <f t="shared" ca="1" si="68"/>
        <v>0</v>
      </c>
      <c r="AB893" s="313" t="str">
        <f t="shared" si="70"/>
        <v/>
      </c>
      <c r="AC893" s="170" t="str">
        <f t="shared" si="71"/>
        <v/>
      </c>
      <c r="AD893" s="170" t="str">
        <f t="shared" si="72"/>
        <v/>
      </c>
    </row>
    <row r="894" spans="1:30" s="170" customFormat="1" ht="20.399999999999999">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69"/>
        <v/>
      </c>
      <c r="T894" s="155" t="str">
        <f ca="1">IF(B894="","",IF(ISERROR(MATCH($J894,SorP!$B$1:$B$6226,0)),"",INDIRECT("'SorP'!$A$"&amp;MATCH($S894&amp;$J894,SorP!C:C,0))))</f>
        <v/>
      </c>
      <c r="U894" s="168"/>
      <c r="V894" s="169" t="e">
        <f>IF(C894="",NA(),MATCH($B894&amp;$C894,'Smelter Look-up'!$J:$J,0))</f>
        <v>#N/A</v>
      </c>
      <c r="X894" s="170">
        <f t="shared" ca="1" si="68"/>
        <v>0</v>
      </c>
      <c r="AB894" s="313" t="str">
        <f t="shared" si="70"/>
        <v/>
      </c>
      <c r="AC894" s="170" t="str">
        <f t="shared" si="71"/>
        <v/>
      </c>
      <c r="AD894" s="170" t="str">
        <f t="shared" si="72"/>
        <v/>
      </c>
    </row>
    <row r="895" spans="1:30" s="170" customFormat="1" ht="20.399999999999999">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69"/>
        <v/>
      </c>
      <c r="T895" s="155" t="str">
        <f ca="1">IF(B895="","",IF(ISERROR(MATCH($J895,SorP!$B$1:$B$6226,0)),"",INDIRECT("'SorP'!$A$"&amp;MATCH($S895&amp;$J895,SorP!C:C,0))))</f>
        <v/>
      </c>
      <c r="U895" s="168"/>
      <c r="V895" s="169" t="e">
        <f>IF(C895="",NA(),MATCH($B895&amp;$C895,'Smelter Look-up'!$J:$J,0))</f>
        <v>#N/A</v>
      </c>
      <c r="X895" s="170">
        <f t="shared" ref="X895:X958" ca="1" si="73">IF(AND(C895="Smelter not listed",OR(LEN(D895)=0,LEN(E895)=0)),1,0)</f>
        <v>0</v>
      </c>
      <c r="AB895" s="313" t="str">
        <f t="shared" si="70"/>
        <v/>
      </c>
      <c r="AC895" s="170" t="str">
        <f t="shared" si="71"/>
        <v/>
      </c>
      <c r="AD895" s="170" t="str">
        <f t="shared" si="72"/>
        <v/>
      </c>
    </row>
    <row r="896" spans="1:30" s="170" customFormat="1" ht="20.399999999999999">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ref="S896:S959" ca="1" si="74">IF(B896="","",IF(ISERROR(MATCH($E896,CL,0)),"Unknown",INDIRECT("'C'!$A$"&amp;MATCH($E896,CL,0)+1)))</f>
        <v/>
      </c>
      <c r="T896" s="155" t="str">
        <f ca="1">IF(B896="","",IF(ISERROR(MATCH($J896,SorP!$B$1:$B$6226,0)),"",INDIRECT("'SorP'!$A$"&amp;MATCH($S896&amp;$J896,SorP!C:C,0))))</f>
        <v/>
      </c>
      <c r="U896" s="168"/>
      <c r="V896" s="169" t="e">
        <f>IF(C896="",NA(),MATCH($B896&amp;$C896,'Smelter Look-up'!$J:$J,0))</f>
        <v>#N/A</v>
      </c>
      <c r="X896" s="170">
        <f t="shared" ca="1" si="73"/>
        <v>0</v>
      </c>
      <c r="AB896" s="313" t="str">
        <f t="shared" si="70"/>
        <v/>
      </c>
      <c r="AC896" s="170" t="str">
        <f t="shared" si="71"/>
        <v/>
      </c>
      <c r="AD896" s="170" t="str">
        <f t="shared" si="72"/>
        <v/>
      </c>
    </row>
    <row r="897" spans="1:30" s="170" customFormat="1" ht="20.399999999999999">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74"/>
        <v/>
      </c>
      <c r="T897" s="155" t="str">
        <f ca="1">IF(B897="","",IF(ISERROR(MATCH($J897,SorP!$B$1:$B$6226,0)),"",INDIRECT("'SorP'!$A$"&amp;MATCH($S897&amp;$J897,SorP!C:C,0))))</f>
        <v/>
      </c>
      <c r="U897" s="168"/>
      <c r="V897" s="169" t="e">
        <f>IF(C897="",NA(),MATCH($B897&amp;$C897,'Smelter Look-up'!$J:$J,0))</f>
        <v>#N/A</v>
      </c>
      <c r="X897" s="170">
        <f t="shared" ca="1" si="73"/>
        <v>0</v>
      </c>
      <c r="AB897" s="313" t="str">
        <f t="shared" si="70"/>
        <v/>
      </c>
      <c r="AC897" s="170" t="str">
        <f t="shared" si="71"/>
        <v/>
      </c>
      <c r="AD897" s="170" t="str">
        <f t="shared" si="72"/>
        <v/>
      </c>
    </row>
    <row r="898" spans="1:30" s="170" customFormat="1" ht="20.399999999999999">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74"/>
        <v/>
      </c>
      <c r="T898" s="155" t="str">
        <f ca="1">IF(B898="","",IF(ISERROR(MATCH($J898,SorP!$B$1:$B$6226,0)),"",INDIRECT("'SorP'!$A$"&amp;MATCH($S898&amp;$J898,SorP!C:C,0))))</f>
        <v/>
      </c>
      <c r="U898" s="168"/>
      <c r="V898" s="169" t="e">
        <f>IF(C898="",NA(),MATCH($B898&amp;$C898,'Smelter Look-up'!$J:$J,0))</f>
        <v>#N/A</v>
      </c>
      <c r="X898" s="170">
        <f t="shared" ca="1" si="73"/>
        <v>0</v>
      </c>
      <c r="AB898" s="313" t="str">
        <f t="shared" si="70"/>
        <v/>
      </c>
      <c r="AC898" s="170" t="str">
        <f t="shared" si="71"/>
        <v/>
      </c>
      <c r="AD898" s="170" t="str">
        <f t="shared" si="72"/>
        <v/>
      </c>
    </row>
    <row r="899" spans="1:30" s="170" customFormat="1" ht="20.399999999999999">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74"/>
        <v/>
      </c>
      <c r="T899" s="155" t="str">
        <f ca="1">IF(B899="","",IF(ISERROR(MATCH($J899,SorP!$B$1:$B$6226,0)),"",INDIRECT("'SorP'!$A$"&amp;MATCH($S899&amp;$J899,SorP!C:C,0))))</f>
        <v/>
      </c>
      <c r="U899" s="168"/>
      <c r="V899" s="169" t="e">
        <f>IF(C899="",NA(),MATCH($B899&amp;$C899,'Smelter Look-up'!$J:$J,0))</f>
        <v>#N/A</v>
      </c>
      <c r="X899" s="170">
        <f t="shared" ca="1" si="73"/>
        <v>0</v>
      </c>
      <c r="AB899" s="313" t="str">
        <f t="shared" si="70"/>
        <v/>
      </c>
      <c r="AC899" s="170" t="str">
        <f t="shared" si="71"/>
        <v/>
      </c>
      <c r="AD899" s="170" t="str">
        <f t="shared" si="72"/>
        <v/>
      </c>
    </row>
    <row r="900" spans="1:30" s="170" customFormat="1" ht="20.399999999999999">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74"/>
        <v/>
      </c>
      <c r="T900" s="155" t="str">
        <f ca="1">IF(B900="","",IF(ISERROR(MATCH($J900,SorP!$B$1:$B$6226,0)),"",INDIRECT("'SorP'!$A$"&amp;MATCH($S900&amp;$J900,SorP!C:C,0))))</f>
        <v/>
      </c>
      <c r="U900" s="168"/>
      <c r="V900" s="169" t="e">
        <f>IF(C900="",NA(),MATCH($B900&amp;$C900,'Smelter Look-up'!$J:$J,0))</f>
        <v>#N/A</v>
      </c>
      <c r="X900" s="170">
        <f t="shared" ca="1" si="73"/>
        <v>0</v>
      </c>
      <c r="AB900" s="313" t="str">
        <f t="shared" si="70"/>
        <v/>
      </c>
      <c r="AC900" s="170" t="str">
        <f t="shared" si="71"/>
        <v/>
      </c>
      <c r="AD900" s="170" t="str">
        <f t="shared" si="72"/>
        <v/>
      </c>
    </row>
    <row r="901" spans="1:30" s="170" customFormat="1" ht="20.399999999999999">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74"/>
        <v/>
      </c>
      <c r="T901" s="155" t="str">
        <f ca="1">IF(B901="","",IF(ISERROR(MATCH($J901,SorP!$B$1:$B$6226,0)),"",INDIRECT("'SorP'!$A$"&amp;MATCH($S901&amp;$J901,SorP!C:C,0))))</f>
        <v/>
      </c>
      <c r="U901" s="168"/>
      <c r="V901" s="169" t="e">
        <f>IF(C901="",NA(),MATCH($B901&amp;$C901,'Smelter Look-up'!$J:$J,0))</f>
        <v>#N/A</v>
      </c>
      <c r="X901" s="170">
        <f t="shared" ca="1" si="73"/>
        <v>0</v>
      </c>
      <c r="AB901" s="313" t="str">
        <f t="shared" si="70"/>
        <v/>
      </c>
      <c r="AC901" s="170" t="str">
        <f t="shared" si="71"/>
        <v/>
      </c>
      <c r="AD901" s="170" t="str">
        <f t="shared" si="72"/>
        <v/>
      </c>
    </row>
    <row r="902" spans="1:30" s="170" customFormat="1" ht="20.399999999999999">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74"/>
        <v/>
      </c>
      <c r="T902" s="155" t="str">
        <f ca="1">IF(B902="","",IF(ISERROR(MATCH($J902,SorP!$B$1:$B$6226,0)),"",INDIRECT("'SorP'!$A$"&amp;MATCH($S902&amp;$J902,SorP!C:C,0))))</f>
        <v/>
      </c>
      <c r="U902" s="168"/>
      <c r="V902" s="169" t="e">
        <f>IF(C902="",NA(),MATCH($B902&amp;$C902,'Smelter Look-up'!$J:$J,0))</f>
        <v>#N/A</v>
      </c>
      <c r="X902" s="170">
        <f t="shared" ca="1" si="73"/>
        <v>0</v>
      </c>
      <c r="AB902" s="313" t="str">
        <f t="shared" ref="AB902:AB965" si="75">IF(C902="","",B902)</f>
        <v/>
      </c>
      <c r="AC902" s="170" t="str">
        <f t="shared" ref="AC902:AC965" si="76">B902</f>
        <v/>
      </c>
      <c r="AD902" s="170" t="str">
        <f t="shared" ref="AD902:AD965" si="77">IF(C902="Smelter not listed",D902,C902)</f>
        <v/>
      </c>
    </row>
    <row r="903" spans="1:30" s="170" customFormat="1" ht="20.399999999999999">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74"/>
        <v/>
      </c>
      <c r="T903" s="155" t="str">
        <f ca="1">IF(B903="","",IF(ISERROR(MATCH($J903,SorP!$B$1:$B$6226,0)),"",INDIRECT("'SorP'!$A$"&amp;MATCH($S903&amp;$J903,SorP!C:C,0))))</f>
        <v/>
      </c>
      <c r="U903" s="168"/>
      <c r="V903" s="169" t="e">
        <f>IF(C903="",NA(),MATCH($B903&amp;$C903,'Smelter Look-up'!$J:$J,0))</f>
        <v>#N/A</v>
      </c>
      <c r="X903" s="170">
        <f t="shared" ca="1" si="73"/>
        <v>0</v>
      </c>
      <c r="AB903" s="313" t="str">
        <f t="shared" si="75"/>
        <v/>
      </c>
      <c r="AC903" s="170" t="str">
        <f t="shared" si="76"/>
        <v/>
      </c>
      <c r="AD903" s="170" t="str">
        <f t="shared" si="77"/>
        <v/>
      </c>
    </row>
    <row r="904" spans="1:30" s="170" customFormat="1" ht="20.399999999999999">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74"/>
        <v/>
      </c>
      <c r="T904" s="155" t="str">
        <f ca="1">IF(B904="","",IF(ISERROR(MATCH($J904,SorP!$B$1:$B$6226,0)),"",INDIRECT("'SorP'!$A$"&amp;MATCH($S904&amp;$J904,SorP!C:C,0))))</f>
        <v/>
      </c>
      <c r="U904" s="168"/>
      <c r="V904" s="169" t="e">
        <f>IF(C904="",NA(),MATCH($B904&amp;$C904,'Smelter Look-up'!$J:$J,0))</f>
        <v>#N/A</v>
      </c>
      <c r="X904" s="170">
        <f t="shared" ca="1" si="73"/>
        <v>0</v>
      </c>
      <c r="AB904" s="313" t="str">
        <f t="shared" si="75"/>
        <v/>
      </c>
      <c r="AC904" s="170" t="str">
        <f t="shared" si="76"/>
        <v/>
      </c>
      <c r="AD904" s="170" t="str">
        <f t="shared" si="77"/>
        <v/>
      </c>
    </row>
    <row r="905" spans="1:30" s="170" customFormat="1" ht="20.399999999999999">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74"/>
        <v/>
      </c>
      <c r="T905" s="155" t="str">
        <f ca="1">IF(B905="","",IF(ISERROR(MATCH($J905,SorP!$B$1:$B$6226,0)),"",INDIRECT("'SorP'!$A$"&amp;MATCH($S905&amp;$J905,SorP!C:C,0))))</f>
        <v/>
      </c>
      <c r="U905" s="168"/>
      <c r="V905" s="169" t="e">
        <f>IF(C905="",NA(),MATCH($B905&amp;$C905,'Smelter Look-up'!$J:$J,0))</f>
        <v>#N/A</v>
      </c>
      <c r="X905" s="170">
        <f t="shared" ca="1" si="73"/>
        <v>0</v>
      </c>
      <c r="AB905" s="313" t="str">
        <f t="shared" si="75"/>
        <v/>
      </c>
      <c r="AC905" s="170" t="str">
        <f t="shared" si="76"/>
        <v/>
      </c>
      <c r="AD905" s="170" t="str">
        <f t="shared" si="77"/>
        <v/>
      </c>
    </row>
    <row r="906" spans="1:30" s="170" customFormat="1" ht="20.399999999999999">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74"/>
        <v/>
      </c>
      <c r="T906" s="155" t="str">
        <f ca="1">IF(B906="","",IF(ISERROR(MATCH($J906,SorP!$B$1:$B$6226,0)),"",INDIRECT("'SorP'!$A$"&amp;MATCH($S906&amp;$J906,SorP!C:C,0))))</f>
        <v/>
      </c>
      <c r="U906" s="168"/>
      <c r="V906" s="169" t="e">
        <f>IF(C906="",NA(),MATCH($B906&amp;$C906,'Smelter Look-up'!$J:$J,0))</f>
        <v>#N/A</v>
      </c>
      <c r="X906" s="170">
        <f t="shared" ca="1" si="73"/>
        <v>0</v>
      </c>
      <c r="AB906" s="313" t="str">
        <f t="shared" si="75"/>
        <v/>
      </c>
      <c r="AC906" s="170" t="str">
        <f t="shared" si="76"/>
        <v/>
      </c>
      <c r="AD906" s="170" t="str">
        <f t="shared" si="77"/>
        <v/>
      </c>
    </row>
    <row r="907" spans="1:30" s="170" customFormat="1" ht="20.399999999999999">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74"/>
        <v/>
      </c>
      <c r="T907" s="155" t="str">
        <f ca="1">IF(B907="","",IF(ISERROR(MATCH($J907,SorP!$B$1:$B$6226,0)),"",INDIRECT("'SorP'!$A$"&amp;MATCH($S907&amp;$J907,SorP!C:C,0))))</f>
        <v/>
      </c>
      <c r="U907" s="168"/>
      <c r="V907" s="169" t="e">
        <f>IF(C907="",NA(),MATCH($B907&amp;$C907,'Smelter Look-up'!$J:$J,0))</f>
        <v>#N/A</v>
      </c>
      <c r="X907" s="170">
        <f t="shared" ca="1" si="73"/>
        <v>0</v>
      </c>
      <c r="AB907" s="313" t="str">
        <f t="shared" si="75"/>
        <v/>
      </c>
      <c r="AC907" s="170" t="str">
        <f t="shared" si="76"/>
        <v/>
      </c>
      <c r="AD907" s="170" t="str">
        <f t="shared" si="77"/>
        <v/>
      </c>
    </row>
    <row r="908" spans="1:30" s="170" customFormat="1" ht="20.399999999999999">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74"/>
        <v/>
      </c>
      <c r="T908" s="155" t="str">
        <f ca="1">IF(B908="","",IF(ISERROR(MATCH($J908,SorP!$B$1:$B$6226,0)),"",INDIRECT("'SorP'!$A$"&amp;MATCH($S908&amp;$J908,SorP!C:C,0))))</f>
        <v/>
      </c>
      <c r="U908" s="168"/>
      <c r="V908" s="169" t="e">
        <f>IF(C908="",NA(),MATCH($B908&amp;$C908,'Smelter Look-up'!$J:$J,0))</f>
        <v>#N/A</v>
      </c>
      <c r="X908" s="170">
        <f t="shared" ca="1" si="73"/>
        <v>0</v>
      </c>
      <c r="AB908" s="313" t="str">
        <f t="shared" si="75"/>
        <v/>
      </c>
      <c r="AC908" s="170" t="str">
        <f t="shared" si="76"/>
        <v/>
      </c>
      <c r="AD908" s="170" t="str">
        <f t="shared" si="77"/>
        <v/>
      </c>
    </row>
    <row r="909" spans="1:30" s="170" customFormat="1" ht="20.399999999999999">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74"/>
        <v/>
      </c>
      <c r="T909" s="155" t="str">
        <f ca="1">IF(B909="","",IF(ISERROR(MATCH($J909,SorP!$B$1:$B$6226,0)),"",INDIRECT("'SorP'!$A$"&amp;MATCH($S909&amp;$J909,SorP!C:C,0))))</f>
        <v/>
      </c>
      <c r="U909" s="168"/>
      <c r="V909" s="169" t="e">
        <f>IF(C909="",NA(),MATCH($B909&amp;$C909,'Smelter Look-up'!$J:$J,0))</f>
        <v>#N/A</v>
      </c>
      <c r="X909" s="170">
        <f t="shared" ca="1" si="73"/>
        <v>0</v>
      </c>
      <c r="AB909" s="313" t="str">
        <f t="shared" si="75"/>
        <v/>
      </c>
      <c r="AC909" s="170" t="str">
        <f t="shared" si="76"/>
        <v/>
      </c>
      <c r="AD909" s="170" t="str">
        <f t="shared" si="77"/>
        <v/>
      </c>
    </row>
    <row r="910" spans="1:30" s="170" customFormat="1" ht="20.399999999999999">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74"/>
        <v/>
      </c>
      <c r="T910" s="155" t="str">
        <f ca="1">IF(B910="","",IF(ISERROR(MATCH($J910,SorP!$B$1:$B$6226,0)),"",INDIRECT("'SorP'!$A$"&amp;MATCH($S910&amp;$J910,SorP!C:C,0))))</f>
        <v/>
      </c>
      <c r="U910" s="168"/>
      <c r="V910" s="169" t="e">
        <f>IF(C910="",NA(),MATCH($B910&amp;$C910,'Smelter Look-up'!$J:$J,0))</f>
        <v>#N/A</v>
      </c>
      <c r="X910" s="170">
        <f t="shared" ca="1" si="73"/>
        <v>0</v>
      </c>
      <c r="AB910" s="313" t="str">
        <f t="shared" si="75"/>
        <v/>
      </c>
      <c r="AC910" s="170" t="str">
        <f t="shared" si="76"/>
        <v/>
      </c>
      <c r="AD910" s="170" t="str">
        <f t="shared" si="77"/>
        <v/>
      </c>
    </row>
    <row r="911" spans="1:30" s="170" customFormat="1" ht="20.399999999999999">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74"/>
        <v/>
      </c>
      <c r="T911" s="155" t="str">
        <f ca="1">IF(B911="","",IF(ISERROR(MATCH($J911,SorP!$B$1:$B$6226,0)),"",INDIRECT("'SorP'!$A$"&amp;MATCH($S911&amp;$J911,SorP!C:C,0))))</f>
        <v/>
      </c>
      <c r="U911" s="168"/>
      <c r="V911" s="169" t="e">
        <f>IF(C911="",NA(),MATCH($B911&amp;$C911,'Smelter Look-up'!$J:$J,0))</f>
        <v>#N/A</v>
      </c>
      <c r="X911" s="170">
        <f t="shared" ca="1" si="73"/>
        <v>0</v>
      </c>
      <c r="AB911" s="313" t="str">
        <f t="shared" si="75"/>
        <v/>
      </c>
      <c r="AC911" s="170" t="str">
        <f t="shared" si="76"/>
        <v/>
      </c>
      <c r="AD911" s="170" t="str">
        <f t="shared" si="77"/>
        <v/>
      </c>
    </row>
    <row r="912" spans="1:30" s="170" customFormat="1" ht="20.399999999999999">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74"/>
        <v/>
      </c>
      <c r="T912" s="155" t="str">
        <f ca="1">IF(B912="","",IF(ISERROR(MATCH($J912,SorP!$B$1:$B$6226,0)),"",INDIRECT("'SorP'!$A$"&amp;MATCH($S912&amp;$J912,SorP!C:C,0))))</f>
        <v/>
      </c>
      <c r="U912" s="168"/>
      <c r="V912" s="169" t="e">
        <f>IF(C912="",NA(),MATCH($B912&amp;$C912,'Smelter Look-up'!$J:$J,0))</f>
        <v>#N/A</v>
      </c>
      <c r="X912" s="170">
        <f t="shared" ca="1" si="73"/>
        <v>0</v>
      </c>
      <c r="AB912" s="313" t="str">
        <f t="shared" si="75"/>
        <v/>
      </c>
      <c r="AC912" s="170" t="str">
        <f t="shared" si="76"/>
        <v/>
      </c>
      <c r="AD912" s="170" t="str">
        <f t="shared" si="77"/>
        <v/>
      </c>
    </row>
    <row r="913" spans="1:30" s="170" customFormat="1" ht="20.399999999999999">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74"/>
        <v/>
      </c>
      <c r="T913" s="155" t="str">
        <f ca="1">IF(B913="","",IF(ISERROR(MATCH($J913,SorP!$B$1:$B$6226,0)),"",INDIRECT("'SorP'!$A$"&amp;MATCH($S913&amp;$J913,SorP!C:C,0))))</f>
        <v/>
      </c>
      <c r="U913" s="168"/>
      <c r="V913" s="169" t="e">
        <f>IF(C913="",NA(),MATCH($B913&amp;$C913,'Smelter Look-up'!$J:$J,0))</f>
        <v>#N/A</v>
      </c>
      <c r="X913" s="170">
        <f t="shared" ca="1" si="73"/>
        <v>0</v>
      </c>
      <c r="AB913" s="313" t="str">
        <f t="shared" si="75"/>
        <v/>
      </c>
      <c r="AC913" s="170" t="str">
        <f t="shared" si="76"/>
        <v/>
      </c>
      <c r="AD913" s="170" t="str">
        <f t="shared" si="77"/>
        <v/>
      </c>
    </row>
    <row r="914" spans="1:30" s="170" customFormat="1" ht="20.399999999999999">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74"/>
        <v/>
      </c>
      <c r="T914" s="155" t="str">
        <f ca="1">IF(B914="","",IF(ISERROR(MATCH($J914,SorP!$B$1:$B$6226,0)),"",INDIRECT("'SorP'!$A$"&amp;MATCH($S914&amp;$J914,SorP!C:C,0))))</f>
        <v/>
      </c>
      <c r="U914" s="168"/>
      <c r="V914" s="169" t="e">
        <f>IF(C914="",NA(),MATCH($B914&amp;$C914,'Smelter Look-up'!$J:$J,0))</f>
        <v>#N/A</v>
      </c>
      <c r="X914" s="170">
        <f t="shared" ca="1" si="73"/>
        <v>0</v>
      </c>
      <c r="AB914" s="313" t="str">
        <f t="shared" si="75"/>
        <v/>
      </c>
      <c r="AC914" s="170" t="str">
        <f t="shared" si="76"/>
        <v/>
      </c>
      <c r="AD914" s="170" t="str">
        <f t="shared" si="77"/>
        <v/>
      </c>
    </row>
    <row r="915" spans="1:30" s="170" customFormat="1" ht="20.399999999999999">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74"/>
        <v/>
      </c>
      <c r="T915" s="155" t="str">
        <f ca="1">IF(B915="","",IF(ISERROR(MATCH($J915,SorP!$B$1:$B$6226,0)),"",INDIRECT("'SorP'!$A$"&amp;MATCH($S915&amp;$J915,SorP!C:C,0))))</f>
        <v/>
      </c>
      <c r="U915" s="168"/>
      <c r="V915" s="169" t="e">
        <f>IF(C915="",NA(),MATCH($B915&amp;$C915,'Smelter Look-up'!$J:$J,0))</f>
        <v>#N/A</v>
      </c>
      <c r="X915" s="170">
        <f t="shared" ca="1" si="73"/>
        <v>0</v>
      </c>
      <c r="AB915" s="313" t="str">
        <f t="shared" si="75"/>
        <v/>
      </c>
      <c r="AC915" s="170" t="str">
        <f t="shared" si="76"/>
        <v/>
      </c>
      <c r="AD915" s="170" t="str">
        <f t="shared" si="77"/>
        <v/>
      </c>
    </row>
    <row r="916" spans="1:30" s="170" customFormat="1" ht="20.399999999999999">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74"/>
        <v/>
      </c>
      <c r="T916" s="155" t="str">
        <f ca="1">IF(B916="","",IF(ISERROR(MATCH($J916,SorP!$B$1:$B$6226,0)),"",INDIRECT("'SorP'!$A$"&amp;MATCH($S916&amp;$J916,SorP!C:C,0))))</f>
        <v/>
      </c>
      <c r="U916" s="168"/>
      <c r="V916" s="169" t="e">
        <f>IF(C916="",NA(),MATCH($B916&amp;$C916,'Smelter Look-up'!$J:$J,0))</f>
        <v>#N/A</v>
      </c>
      <c r="X916" s="170">
        <f t="shared" ca="1" si="73"/>
        <v>0</v>
      </c>
      <c r="AB916" s="313" t="str">
        <f t="shared" si="75"/>
        <v/>
      </c>
      <c r="AC916" s="170" t="str">
        <f t="shared" si="76"/>
        <v/>
      </c>
      <c r="AD916" s="170" t="str">
        <f t="shared" si="77"/>
        <v/>
      </c>
    </row>
    <row r="917" spans="1:30" s="170" customFormat="1" ht="20.399999999999999">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74"/>
        <v/>
      </c>
      <c r="T917" s="155" t="str">
        <f ca="1">IF(B917="","",IF(ISERROR(MATCH($J917,SorP!$B$1:$B$6226,0)),"",INDIRECT("'SorP'!$A$"&amp;MATCH($S917&amp;$J917,SorP!C:C,0))))</f>
        <v/>
      </c>
      <c r="U917" s="168"/>
      <c r="V917" s="169" t="e">
        <f>IF(C917="",NA(),MATCH($B917&amp;$C917,'Smelter Look-up'!$J:$J,0))</f>
        <v>#N/A</v>
      </c>
      <c r="X917" s="170">
        <f t="shared" ca="1" si="73"/>
        <v>0</v>
      </c>
      <c r="AB917" s="313" t="str">
        <f t="shared" si="75"/>
        <v/>
      </c>
      <c r="AC917" s="170" t="str">
        <f t="shared" si="76"/>
        <v/>
      </c>
      <c r="AD917" s="170" t="str">
        <f t="shared" si="77"/>
        <v/>
      </c>
    </row>
    <row r="918" spans="1:30" s="170" customFormat="1" ht="20.399999999999999">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74"/>
        <v/>
      </c>
      <c r="T918" s="155" t="str">
        <f ca="1">IF(B918="","",IF(ISERROR(MATCH($J918,SorP!$B$1:$B$6226,0)),"",INDIRECT("'SorP'!$A$"&amp;MATCH($S918&amp;$J918,SorP!C:C,0))))</f>
        <v/>
      </c>
      <c r="U918" s="168"/>
      <c r="V918" s="169" t="e">
        <f>IF(C918="",NA(),MATCH($B918&amp;$C918,'Smelter Look-up'!$J:$J,0))</f>
        <v>#N/A</v>
      </c>
      <c r="X918" s="170">
        <f t="shared" ca="1" si="73"/>
        <v>0</v>
      </c>
      <c r="AB918" s="313" t="str">
        <f t="shared" si="75"/>
        <v/>
      </c>
      <c r="AC918" s="170" t="str">
        <f t="shared" si="76"/>
        <v/>
      </c>
      <c r="AD918" s="170" t="str">
        <f t="shared" si="77"/>
        <v/>
      </c>
    </row>
    <row r="919" spans="1:30" s="170" customFormat="1" ht="20.399999999999999">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74"/>
        <v/>
      </c>
      <c r="T919" s="155" t="str">
        <f ca="1">IF(B919="","",IF(ISERROR(MATCH($J919,SorP!$B$1:$B$6226,0)),"",INDIRECT("'SorP'!$A$"&amp;MATCH($S919&amp;$J919,SorP!C:C,0))))</f>
        <v/>
      </c>
      <c r="U919" s="168"/>
      <c r="V919" s="169" t="e">
        <f>IF(C919="",NA(),MATCH($B919&amp;$C919,'Smelter Look-up'!$J:$J,0))</f>
        <v>#N/A</v>
      </c>
      <c r="X919" s="170">
        <f t="shared" ca="1" si="73"/>
        <v>0</v>
      </c>
      <c r="AB919" s="313" t="str">
        <f t="shared" si="75"/>
        <v/>
      </c>
      <c r="AC919" s="170" t="str">
        <f t="shared" si="76"/>
        <v/>
      </c>
      <c r="AD919" s="170" t="str">
        <f t="shared" si="77"/>
        <v/>
      </c>
    </row>
    <row r="920" spans="1:30" s="170" customFormat="1" ht="20.399999999999999">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74"/>
        <v/>
      </c>
      <c r="T920" s="155" t="str">
        <f ca="1">IF(B920="","",IF(ISERROR(MATCH($J920,SorP!$B$1:$B$6226,0)),"",INDIRECT("'SorP'!$A$"&amp;MATCH($S920&amp;$J920,SorP!C:C,0))))</f>
        <v/>
      </c>
      <c r="U920" s="168"/>
      <c r="V920" s="169" t="e">
        <f>IF(C920="",NA(),MATCH($B920&amp;$C920,'Smelter Look-up'!$J:$J,0))</f>
        <v>#N/A</v>
      </c>
      <c r="X920" s="170">
        <f t="shared" ca="1" si="73"/>
        <v>0</v>
      </c>
      <c r="AB920" s="313" t="str">
        <f t="shared" si="75"/>
        <v/>
      </c>
      <c r="AC920" s="170" t="str">
        <f t="shared" si="76"/>
        <v/>
      </c>
      <c r="AD920" s="170" t="str">
        <f t="shared" si="77"/>
        <v/>
      </c>
    </row>
    <row r="921" spans="1:30" s="170" customFormat="1" ht="20.399999999999999">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74"/>
        <v/>
      </c>
      <c r="T921" s="155" t="str">
        <f ca="1">IF(B921="","",IF(ISERROR(MATCH($J921,SorP!$B$1:$B$6226,0)),"",INDIRECT("'SorP'!$A$"&amp;MATCH($S921&amp;$J921,SorP!C:C,0))))</f>
        <v/>
      </c>
      <c r="U921" s="168"/>
      <c r="V921" s="169" t="e">
        <f>IF(C921="",NA(),MATCH($B921&amp;$C921,'Smelter Look-up'!$J:$J,0))</f>
        <v>#N/A</v>
      </c>
      <c r="X921" s="170">
        <f t="shared" ca="1" si="73"/>
        <v>0</v>
      </c>
      <c r="AB921" s="313" t="str">
        <f t="shared" si="75"/>
        <v/>
      </c>
      <c r="AC921" s="170" t="str">
        <f t="shared" si="76"/>
        <v/>
      </c>
      <c r="AD921" s="170" t="str">
        <f t="shared" si="77"/>
        <v/>
      </c>
    </row>
    <row r="922" spans="1:30" s="170" customFormat="1" ht="20.399999999999999">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74"/>
        <v/>
      </c>
      <c r="T922" s="155" t="str">
        <f ca="1">IF(B922="","",IF(ISERROR(MATCH($J922,SorP!$B$1:$B$6226,0)),"",INDIRECT("'SorP'!$A$"&amp;MATCH($S922&amp;$J922,SorP!C:C,0))))</f>
        <v/>
      </c>
      <c r="U922" s="168"/>
      <c r="V922" s="169" t="e">
        <f>IF(C922="",NA(),MATCH($B922&amp;$C922,'Smelter Look-up'!$J:$J,0))</f>
        <v>#N/A</v>
      </c>
      <c r="X922" s="170">
        <f t="shared" ca="1" si="73"/>
        <v>0</v>
      </c>
      <c r="AB922" s="313" t="str">
        <f t="shared" si="75"/>
        <v/>
      </c>
      <c r="AC922" s="170" t="str">
        <f t="shared" si="76"/>
        <v/>
      </c>
      <c r="AD922" s="170" t="str">
        <f t="shared" si="77"/>
        <v/>
      </c>
    </row>
    <row r="923" spans="1:30" s="170" customFormat="1" ht="20.399999999999999">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74"/>
        <v/>
      </c>
      <c r="T923" s="155" t="str">
        <f ca="1">IF(B923="","",IF(ISERROR(MATCH($J923,SorP!$B$1:$B$6226,0)),"",INDIRECT("'SorP'!$A$"&amp;MATCH($S923&amp;$J923,SorP!C:C,0))))</f>
        <v/>
      </c>
      <c r="U923" s="168"/>
      <c r="V923" s="169" t="e">
        <f>IF(C923="",NA(),MATCH($B923&amp;$C923,'Smelter Look-up'!$J:$J,0))</f>
        <v>#N/A</v>
      </c>
      <c r="X923" s="170">
        <f t="shared" ca="1" si="73"/>
        <v>0</v>
      </c>
      <c r="AB923" s="313" t="str">
        <f t="shared" si="75"/>
        <v/>
      </c>
      <c r="AC923" s="170" t="str">
        <f t="shared" si="76"/>
        <v/>
      </c>
      <c r="AD923" s="170" t="str">
        <f t="shared" si="77"/>
        <v/>
      </c>
    </row>
    <row r="924" spans="1:30" s="170" customFormat="1" ht="20.399999999999999">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74"/>
        <v/>
      </c>
      <c r="T924" s="155" t="str">
        <f ca="1">IF(B924="","",IF(ISERROR(MATCH($J924,SorP!$B$1:$B$6226,0)),"",INDIRECT("'SorP'!$A$"&amp;MATCH($S924&amp;$J924,SorP!C:C,0))))</f>
        <v/>
      </c>
      <c r="U924" s="168"/>
      <c r="V924" s="169" t="e">
        <f>IF(C924="",NA(),MATCH($B924&amp;$C924,'Smelter Look-up'!$J:$J,0))</f>
        <v>#N/A</v>
      </c>
      <c r="X924" s="170">
        <f t="shared" ca="1" si="73"/>
        <v>0</v>
      </c>
      <c r="AB924" s="313" t="str">
        <f t="shared" si="75"/>
        <v/>
      </c>
      <c r="AC924" s="170" t="str">
        <f t="shared" si="76"/>
        <v/>
      </c>
      <c r="AD924" s="170" t="str">
        <f t="shared" si="77"/>
        <v/>
      </c>
    </row>
    <row r="925" spans="1:30" s="170" customFormat="1" ht="20.399999999999999">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74"/>
        <v/>
      </c>
      <c r="T925" s="155" t="str">
        <f ca="1">IF(B925="","",IF(ISERROR(MATCH($J925,SorP!$B$1:$B$6226,0)),"",INDIRECT("'SorP'!$A$"&amp;MATCH($S925&amp;$J925,SorP!C:C,0))))</f>
        <v/>
      </c>
      <c r="U925" s="168"/>
      <c r="V925" s="169" t="e">
        <f>IF(C925="",NA(),MATCH($B925&amp;$C925,'Smelter Look-up'!$J:$J,0))</f>
        <v>#N/A</v>
      </c>
      <c r="X925" s="170">
        <f t="shared" ca="1" si="73"/>
        <v>0</v>
      </c>
      <c r="AB925" s="313" t="str">
        <f t="shared" si="75"/>
        <v/>
      </c>
      <c r="AC925" s="170" t="str">
        <f t="shared" si="76"/>
        <v/>
      </c>
      <c r="AD925" s="170" t="str">
        <f t="shared" si="77"/>
        <v/>
      </c>
    </row>
    <row r="926" spans="1:30" s="170" customFormat="1" ht="20.399999999999999">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74"/>
        <v/>
      </c>
      <c r="T926" s="155" t="str">
        <f ca="1">IF(B926="","",IF(ISERROR(MATCH($J926,SorP!$B$1:$B$6226,0)),"",INDIRECT("'SorP'!$A$"&amp;MATCH($S926&amp;$J926,SorP!C:C,0))))</f>
        <v/>
      </c>
      <c r="U926" s="168"/>
      <c r="V926" s="169" t="e">
        <f>IF(C926="",NA(),MATCH($B926&amp;$C926,'Smelter Look-up'!$J:$J,0))</f>
        <v>#N/A</v>
      </c>
      <c r="X926" s="170">
        <f t="shared" ca="1" si="73"/>
        <v>0</v>
      </c>
      <c r="AB926" s="313" t="str">
        <f t="shared" si="75"/>
        <v/>
      </c>
      <c r="AC926" s="170" t="str">
        <f t="shared" si="76"/>
        <v/>
      </c>
      <c r="AD926" s="170" t="str">
        <f t="shared" si="77"/>
        <v/>
      </c>
    </row>
    <row r="927" spans="1:30" s="170" customFormat="1" ht="20.399999999999999">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74"/>
        <v/>
      </c>
      <c r="T927" s="155" t="str">
        <f ca="1">IF(B927="","",IF(ISERROR(MATCH($J927,SorP!$B$1:$B$6226,0)),"",INDIRECT("'SorP'!$A$"&amp;MATCH($S927&amp;$J927,SorP!C:C,0))))</f>
        <v/>
      </c>
      <c r="U927" s="168"/>
      <c r="V927" s="169" t="e">
        <f>IF(C927="",NA(),MATCH($B927&amp;$C927,'Smelter Look-up'!$J:$J,0))</f>
        <v>#N/A</v>
      </c>
      <c r="X927" s="170">
        <f t="shared" ca="1" si="73"/>
        <v>0</v>
      </c>
      <c r="AB927" s="313" t="str">
        <f t="shared" si="75"/>
        <v/>
      </c>
      <c r="AC927" s="170" t="str">
        <f t="shared" si="76"/>
        <v/>
      </c>
      <c r="AD927" s="170" t="str">
        <f t="shared" si="77"/>
        <v/>
      </c>
    </row>
    <row r="928" spans="1:30" s="170" customFormat="1" ht="20.399999999999999">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74"/>
        <v/>
      </c>
      <c r="T928" s="155" t="str">
        <f ca="1">IF(B928="","",IF(ISERROR(MATCH($J928,SorP!$B$1:$B$6226,0)),"",INDIRECT("'SorP'!$A$"&amp;MATCH($S928&amp;$J928,SorP!C:C,0))))</f>
        <v/>
      </c>
      <c r="U928" s="168"/>
      <c r="V928" s="169" t="e">
        <f>IF(C928="",NA(),MATCH($B928&amp;$C928,'Smelter Look-up'!$J:$J,0))</f>
        <v>#N/A</v>
      </c>
      <c r="X928" s="170">
        <f t="shared" ca="1" si="73"/>
        <v>0</v>
      </c>
      <c r="AB928" s="313" t="str">
        <f t="shared" si="75"/>
        <v/>
      </c>
      <c r="AC928" s="170" t="str">
        <f t="shared" si="76"/>
        <v/>
      </c>
      <c r="AD928" s="170" t="str">
        <f t="shared" si="77"/>
        <v/>
      </c>
    </row>
    <row r="929" spans="1:30" s="170" customFormat="1" ht="20.399999999999999">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74"/>
        <v/>
      </c>
      <c r="T929" s="155" t="str">
        <f ca="1">IF(B929="","",IF(ISERROR(MATCH($J929,SorP!$B$1:$B$6226,0)),"",INDIRECT("'SorP'!$A$"&amp;MATCH($S929&amp;$J929,SorP!C:C,0))))</f>
        <v/>
      </c>
      <c r="U929" s="168"/>
      <c r="V929" s="169" t="e">
        <f>IF(C929="",NA(),MATCH($B929&amp;$C929,'Smelter Look-up'!$J:$J,0))</f>
        <v>#N/A</v>
      </c>
      <c r="X929" s="170">
        <f t="shared" ca="1" si="73"/>
        <v>0</v>
      </c>
      <c r="AB929" s="313" t="str">
        <f t="shared" si="75"/>
        <v/>
      </c>
      <c r="AC929" s="170" t="str">
        <f t="shared" si="76"/>
        <v/>
      </c>
      <c r="AD929" s="170" t="str">
        <f t="shared" si="77"/>
        <v/>
      </c>
    </row>
    <row r="930" spans="1:30" s="170" customFormat="1" ht="20.399999999999999">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74"/>
        <v/>
      </c>
      <c r="T930" s="155" t="str">
        <f ca="1">IF(B930="","",IF(ISERROR(MATCH($J930,SorP!$B$1:$B$6226,0)),"",INDIRECT("'SorP'!$A$"&amp;MATCH($S930&amp;$J930,SorP!C:C,0))))</f>
        <v/>
      </c>
      <c r="U930" s="168"/>
      <c r="V930" s="169" t="e">
        <f>IF(C930="",NA(),MATCH($B930&amp;$C930,'Smelter Look-up'!$J:$J,0))</f>
        <v>#N/A</v>
      </c>
      <c r="X930" s="170">
        <f t="shared" ca="1" si="73"/>
        <v>0</v>
      </c>
      <c r="AB930" s="313" t="str">
        <f t="shared" si="75"/>
        <v/>
      </c>
      <c r="AC930" s="170" t="str">
        <f t="shared" si="76"/>
        <v/>
      </c>
      <c r="AD930" s="170" t="str">
        <f t="shared" si="77"/>
        <v/>
      </c>
    </row>
    <row r="931" spans="1:30" s="170" customFormat="1" ht="20.399999999999999">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74"/>
        <v/>
      </c>
      <c r="T931" s="155" t="str">
        <f ca="1">IF(B931="","",IF(ISERROR(MATCH($J931,SorP!$B$1:$B$6226,0)),"",INDIRECT("'SorP'!$A$"&amp;MATCH($S931&amp;$J931,SorP!C:C,0))))</f>
        <v/>
      </c>
      <c r="U931" s="168"/>
      <c r="V931" s="169" t="e">
        <f>IF(C931="",NA(),MATCH($B931&amp;$C931,'Smelter Look-up'!$J:$J,0))</f>
        <v>#N/A</v>
      </c>
      <c r="X931" s="170">
        <f t="shared" ca="1" si="73"/>
        <v>0</v>
      </c>
      <c r="AB931" s="313" t="str">
        <f t="shared" si="75"/>
        <v/>
      </c>
      <c r="AC931" s="170" t="str">
        <f t="shared" si="76"/>
        <v/>
      </c>
      <c r="AD931" s="170" t="str">
        <f t="shared" si="77"/>
        <v/>
      </c>
    </row>
    <row r="932" spans="1:30" s="170" customFormat="1" ht="20.399999999999999">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74"/>
        <v/>
      </c>
      <c r="T932" s="155" t="str">
        <f ca="1">IF(B932="","",IF(ISERROR(MATCH($J932,SorP!$B$1:$B$6226,0)),"",INDIRECT("'SorP'!$A$"&amp;MATCH($S932&amp;$J932,SorP!C:C,0))))</f>
        <v/>
      </c>
      <c r="U932" s="168"/>
      <c r="V932" s="169" t="e">
        <f>IF(C932="",NA(),MATCH($B932&amp;$C932,'Smelter Look-up'!$J:$J,0))</f>
        <v>#N/A</v>
      </c>
      <c r="X932" s="170">
        <f t="shared" ca="1" si="73"/>
        <v>0</v>
      </c>
      <c r="AB932" s="313" t="str">
        <f t="shared" si="75"/>
        <v/>
      </c>
      <c r="AC932" s="170" t="str">
        <f t="shared" si="76"/>
        <v/>
      </c>
      <c r="AD932" s="170" t="str">
        <f t="shared" si="77"/>
        <v/>
      </c>
    </row>
    <row r="933" spans="1:30" s="170" customFormat="1" ht="20.399999999999999">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74"/>
        <v/>
      </c>
      <c r="T933" s="155" t="str">
        <f ca="1">IF(B933="","",IF(ISERROR(MATCH($J933,SorP!$B$1:$B$6226,0)),"",INDIRECT("'SorP'!$A$"&amp;MATCH($S933&amp;$J933,SorP!C:C,0))))</f>
        <v/>
      </c>
      <c r="U933" s="168"/>
      <c r="V933" s="169" t="e">
        <f>IF(C933="",NA(),MATCH($B933&amp;$C933,'Smelter Look-up'!$J:$J,0))</f>
        <v>#N/A</v>
      </c>
      <c r="X933" s="170">
        <f t="shared" ca="1" si="73"/>
        <v>0</v>
      </c>
      <c r="AB933" s="313" t="str">
        <f t="shared" si="75"/>
        <v/>
      </c>
      <c r="AC933" s="170" t="str">
        <f t="shared" si="76"/>
        <v/>
      </c>
      <c r="AD933" s="170" t="str">
        <f t="shared" si="77"/>
        <v/>
      </c>
    </row>
    <row r="934" spans="1:30" s="170" customFormat="1" ht="20.399999999999999">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74"/>
        <v/>
      </c>
      <c r="T934" s="155" t="str">
        <f ca="1">IF(B934="","",IF(ISERROR(MATCH($J934,SorP!$B$1:$B$6226,0)),"",INDIRECT("'SorP'!$A$"&amp;MATCH($S934&amp;$J934,SorP!C:C,0))))</f>
        <v/>
      </c>
      <c r="U934" s="168"/>
      <c r="V934" s="169" t="e">
        <f>IF(C934="",NA(),MATCH($B934&amp;$C934,'Smelter Look-up'!$J:$J,0))</f>
        <v>#N/A</v>
      </c>
      <c r="X934" s="170">
        <f t="shared" ca="1" si="73"/>
        <v>0</v>
      </c>
      <c r="AB934" s="313" t="str">
        <f t="shared" si="75"/>
        <v/>
      </c>
      <c r="AC934" s="170" t="str">
        <f t="shared" si="76"/>
        <v/>
      </c>
      <c r="AD934" s="170" t="str">
        <f t="shared" si="77"/>
        <v/>
      </c>
    </row>
    <row r="935" spans="1:30" s="170" customFormat="1" ht="20.399999999999999">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74"/>
        <v/>
      </c>
      <c r="T935" s="155" t="str">
        <f ca="1">IF(B935="","",IF(ISERROR(MATCH($J935,SorP!$B$1:$B$6226,0)),"",INDIRECT("'SorP'!$A$"&amp;MATCH($S935&amp;$J935,SorP!C:C,0))))</f>
        <v/>
      </c>
      <c r="U935" s="168"/>
      <c r="V935" s="169" t="e">
        <f>IF(C935="",NA(),MATCH($B935&amp;$C935,'Smelter Look-up'!$J:$J,0))</f>
        <v>#N/A</v>
      </c>
      <c r="X935" s="170">
        <f t="shared" ca="1" si="73"/>
        <v>0</v>
      </c>
      <c r="AB935" s="313" t="str">
        <f t="shared" si="75"/>
        <v/>
      </c>
      <c r="AC935" s="170" t="str">
        <f t="shared" si="76"/>
        <v/>
      </c>
      <c r="AD935" s="170" t="str">
        <f t="shared" si="77"/>
        <v/>
      </c>
    </row>
    <row r="936" spans="1:30" s="170" customFormat="1" ht="20.399999999999999">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74"/>
        <v/>
      </c>
      <c r="T936" s="155" t="str">
        <f ca="1">IF(B936="","",IF(ISERROR(MATCH($J936,SorP!$B$1:$B$6226,0)),"",INDIRECT("'SorP'!$A$"&amp;MATCH($S936&amp;$J936,SorP!C:C,0))))</f>
        <v/>
      </c>
      <c r="U936" s="168"/>
      <c r="V936" s="169" t="e">
        <f>IF(C936="",NA(),MATCH($B936&amp;$C936,'Smelter Look-up'!$J:$J,0))</f>
        <v>#N/A</v>
      </c>
      <c r="X936" s="170">
        <f t="shared" ca="1" si="73"/>
        <v>0</v>
      </c>
      <c r="AB936" s="313" t="str">
        <f t="shared" si="75"/>
        <v/>
      </c>
      <c r="AC936" s="170" t="str">
        <f t="shared" si="76"/>
        <v/>
      </c>
      <c r="AD936" s="170" t="str">
        <f t="shared" si="77"/>
        <v/>
      </c>
    </row>
    <row r="937" spans="1:30" s="170" customFormat="1" ht="20.399999999999999">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74"/>
        <v/>
      </c>
      <c r="T937" s="155" t="str">
        <f ca="1">IF(B937="","",IF(ISERROR(MATCH($J937,SorP!$B$1:$B$6226,0)),"",INDIRECT("'SorP'!$A$"&amp;MATCH($S937&amp;$J937,SorP!C:C,0))))</f>
        <v/>
      </c>
      <c r="U937" s="168"/>
      <c r="V937" s="169" t="e">
        <f>IF(C937="",NA(),MATCH($B937&amp;$C937,'Smelter Look-up'!$J:$J,0))</f>
        <v>#N/A</v>
      </c>
      <c r="X937" s="170">
        <f t="shared" ca="1" si="73"/>
        <v>0</v>
      </c>
      <c r="AB937" s="313" t="str">
        <f t="shared" si="75"/>
        <v/>
      </c>
      <c r="AC937" s="170" t="str">
        <f t="shared" si="76"/>
        <v/>
      </c>
      <c r="AD937" s="170" t="str">
        <f t="shared" si="77"/>
        <v/>
      </c>
    </row>
    <row r="938" spans="1:30" s="170" customFormat="1" ht="20.399999999999999">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74"/>
        <v/>
      </c>
      <c r="T938" s="155" t="str">
        <f ca="1">IF(B938="","",IF(ISERROR(MATCH($J938,SorP!$B$1:$B$6226,0)),"",INDIRECT("'SorP'!$A$"&amp;MATCH($S938&amp;$J938,SorP!C:C,0))))</f>
        <v/>
      </c>
      <c r="U938" s="168"/>
      <c r="V938" s="169" t="e">
        <f>IF(C938="",NA(),MATCH($B938&amp;$C938,'Smelter Look-up'!$J:$J,0))</f>
        <v>#N/A</v>
      </c>
      <c r="X938" s="170">
        <f t="shared" ca="1" si="73"/>
        <v>0</v>
      </c>
      <c r="AB938" s="313" t="str">
        <f t="shared" si="75"/>
        <v/>
      </c>
      <c r="AC938" s="170" t="str">
        <f t="shared" si="76"/>
        <v/>
      </c>
      <c r="AD938" s="170" t="str">
        <f t="shared" si="77"/>
        <v/>
      </c>
    </row>
    <row r="939" spans="1:30" s="170" customFormat="1" ht="20.399999999999999">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74"/>
        <v/>
      </c>
      <c r="T939" s="155" t="str">
        <f ca="1">IF(B939="","",IF(ISERROR(MATCH($J939,SorP!$B$1:$B$6226,0)),"",INDIRECT("'SorP'!$A$"&amp;MATCH($S939&amp;$J939,SorP!C:C,0))))</f>
        <v/>
      </c>
      <c r="U939" s="168"/>
      <c r="V939" s="169" t="e">
        <f>IF(C939="",NA(),MATCH($B939&amp;$C939,'Smelter Look-up'!$J:$J,0))</f>
        <v>#N/A</v>
      </c>
      <c r="X939" s="170">
        <f t="shared" ca="1" si="73"/>
        <v>0</v>
      </c>
      <c r="AB939" s="313" t="str">
        <f t="shared" si="75"/>
        <v/>
      </c>
      <c r="AC939" s="170" t="str">
        <f t="shared" si="76"/>
        <v/>
      </c>
      <c r="AD939" s="170" t="str">
        <f t="shared" si="77"/>
        <v/>
      </c>
    </row>
    <row r="940" spans="1:30" s="170" customFormat="1" ht="20.399999999999999">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74"/>
        <v/>
      </c>
      <c r="T940" s="155" t="str">
        <f ca="1">IF(B940="","",IF(ISERROR(MATCH($J940,SorP!$B$1:$B$6226,0)),"",INDIRECT("'SorP'!$A$"&amp;MATCH($S940&amp;$J940,SorP!C:C,0))))</f>
        <v/>
      </c>
      <c r="U940" s="168"/>
      <c r="V940" s="169" t="e">
        <f>IF(C940="",NA(),MATCH($B940&amp;$C940,'Smelter Look-up'!$J:$J,0))</f>
        <v>#N/A</v>
      </c>
      <c r="X940" s="170">
        <f t="shared" ca="1" si="73"/>
        <v>0</v>
      </c>
      <c r="AB940" s="313" t="str">
        <f t="shared" si="75"/>
        <v/>
      </c>
      <c r="AC940" s="170" t="str">
        <f t="shared" si="76"/>
        <v/>
      </c>
      <c r="AD940" s="170" t="str">
        <f t="shared" si="77"/>
        <v/>
      </c>
    </row>
    <row r="941" spans="1:30" s="170" customFormat="1" ht="20.399999999999999">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74"/>
        <v/>
      </c>
      <c r="T941" s="155" t="str">
        <f ca="1">IF(B941="","",IF(ISERROR(MATCH($J941,SorP!$B$1:$B$6226,0)),"",INDIRECT("'SorP'!$A$"&amp;MATCH($S941&amp;$J941,SorP!C:C,0))))</f>
        <v/>
      </c>
      <c r="U941" s="168"/>
      <c r="V941" s="169" t="e">
        <f>IF(C941="",NA(),MATCH($B941&amp;$C941,'Smelter Look-up'!$J:$J,0))</f>
        <v>#N/A</v>
      </c>
      <c r="X941" s="170">
        <f t="shared" ca="1" si="73"/>
        <v>0</v>
      </c>
      <c r="AB941" s="313" t="str">
        <f t="shared" si="75"/>
        <v/>
      </c>
      <c r="AC941" s="170" t="str">
        <f t="shared" si="76"/>
        <v/>
      </c>
      <c r="AD941" s="170" t="str">
        <f t="shared" si="77"/>
        <v/>
      </c>
    </row>
    <row r="942" spans="1:30" s="170" customFormat="1" ht="20.399999999999999">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74"/>
        <v/>
      </c>
      <c r="T942" s="155" t="str">
        <f ca="1">IF(B942="","",IF(ISERROR(MATCH($J942,SorP!$B$1:$B$6226,0)),"",INDIRECT("'SorP'!$A$"&amp;MATCH($S942&amp;$J942,SorP!C:C,0))))</f>
        <v/>
      </c>
      <c r="U942" s="168"/>
      <c r="V942" s="169" t="e">
        <f>IF(C942="",NA(),MATCH($B942&amp;$C942,'Smelter Look-up'!$J:$J,0))</f>
        <v>#N/A</v>
      </c>
      <c r="X942" s="170">
        <f t="shared" ca="1" si="73"/>
        <v>0</v>
      </c>
      <c r="AB942" s="313" t="str">
        <f t="shared" si="75"/>
        <v/>
      </c>
      <c r="AC942" s="170" t="str">
        <f t="shared" si="76"/>
        <v/>
      </c>
      <c r="AD942" s="170" t="str">
        <f t="shared" si="77"/>
        <v/>
      </c>
    </row>
    <row r="943" spans="1:30" s="170" customFormat="1" ht="20.399999999999999">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74"/>
        <v/>
      </c>
      <c r="T943" s="155" t="str">
        <f ca="1">IF(B943="","",IF(ISERROR(MATCH($J943,SorP!$B$1:$B$6226,0)),"",INDIRECT("'SorP'!$A$"&amp;MATCH($S943&amp;$J943,SorP!C:C,0))))</f>
        <v/>
      </c>
      <c r="U943" s="168"/>
      <c r="V943" s="169" t="e">
        <f>IF(C943="",NA(),MATCH($B943&amp;$C943,'Smelter Look-up'!$J:$J,0))</f>
        <v>#N/A</v>
      </c>
      <c r="X943" s="170">
        <f t="shared" ca="1" si="73"/>
        <v>0</v>
      </c>
      <c r="AB943" s="313" t="str">
        <f t="shared" si="75"/>
        <v/>
      </c>
      <c r="AC943" s="170" t="str">
        <f t="shared" si="76"/>
        <v/>
      </c>
      <c r="AD943" s="170" t="str">
        <f t="shared" si="77"/>
        <v/>
      </c>
    </row>
    <row r="944" spans="1:30" s="170" customFormat="1" ht="20.399999999999999">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74"/>
        <v/>
      </c>
      <c r="T944" s="155" t="str">
        <f ca="1">IF(B944="","",IF(ISERROR(MATCH($J944,SorP!$B$1:$B$6226,0)),"",INDIRECT("'SorP'!$A$"&amp;MATCH($S944&amp;$J944,SorP!C:C,0))))</f>
        <v/>
      </c>
      <c r="U944" s="168"/>
      <c r="V944" s="169" t="e">
        <f>IF(C944="",NA(),MATCH($B944&amp;$C944,'Smelter Look-up'!$J:$J,0))</f>
        <v>#N/A</v>
      </c>
      <c r="X944" s="170">
        <f t="shared" ca="1" si="73"/>
        <v>0</v>
      </c>
      <c r="AB944" s="313" t="str">
        <f t="shared" si="75"/>
        <v/>
      </c>
      <c r="AC944" s="170" t="str">
        <f t="shared" si="76"/>
        <v/>
      </c>
      <c r="AD944" s="170" t="str">
        <f t="shared" si="77"/>
        <v/>
      </c>
    </row>
    <row r="945" spans="1:30" s="170" customFormat="1" ht="20.399999999999999">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74"/>
        <v/>
      </c>
      <c r="T945" s="155" t="str">
        <f ca="1">IF(B945="","",IF(ISERROR(MATCH($J945,SorP!$B$1:$B$6226,0)),"",INDIRECT("'SorP'!$A$"&amp;MATCH($S945&amp;$J945,SorP!C:C,0))))</f>
        <v/>
      </c>
      <c r="U945" s="168"/>
      <c r="V945" s="169" t="e">
        <f>IF(C945="",NA(),MATCH($B945&amp;$C945,'Smelter Look-up'!$J:$J,0))</f>
        <v>#N/A</v>
      </c>
      <c r="X945" s="170">
        <f t="shared" ca="1" si="73"/>
        <v>0</v>
      </c>
      <c r="AB945" s="313" t="str">
        <f t="shared" si="75"/>
        <v/>
      </c>
      <c r="AC945" s="170" t="str">
        <f t="shared" si="76"/>
        <v/>
      </c>
      <c r="AD945" s="170" t="str">
        <f t="shared" si="77"/>
        <v/>
      </c>
    </row>
    <row r="946" spans="1:30" s="170" customFormat="1" ht="20.399999999999999">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74"/>
        <v/>
      </c>
      <c r="T946" s="155" t="str">
        <f ca="1">IF(B946="","",IF(ISERROR(MATCH($J946,SorP!$B$1:$B$6226,0)),"",INDIRECT("'SorP'!$A$"&amp;MATCH($S946&amp;$J946,SorP!C:C,0))))</f>
        <v/>
      </c>
      <c r="U946" s="168"/>
      <c r="V946" s="169" t="e">
        <f>IF(C946="",NA(),MATCH($B946&amp;$C946,'Smelter Look-up'!$J:$J,0))</f>
        <v>#N/A</v>
      </c>
      <c r="X946" s="170">
        <f t="shared" ca="1" si="73"/>
        <v>0</v>
      </c>
      <c r="AB946" s="313" t="str">
        <f t="shared" si="75"/>
        <v/>
      </c>
      <c r="AC946" s="170" t="str">
        <f t="shared" si="76"/>
        <v/>
      </c>
      <c r="AD946" s="170" t="str">
        <f t="shared" si="77"/>
        <v/>
      </c>
    </row>
    <row r="947" spans="1:30" s="170" customFormat="1" ht="20.399999999999999">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74"/>
        <v/>
      </c>
      <c r="T947" s="155" t="str">
        <f ca="1">IF(B947="","",IF(ISERROR(MATCH($J947,SorP!$B$1:$B$6226,0)),"",INDIRECT("'SorP'!$A$"&amp;MATCH($S947&amp;$J947,SorP!C:C,0))))</f>
        <v/>
      </c>
      <c r="U947" s="168"/>
      <c r="V947" s="169" t="e">
        <f>IF(C947="",NA(),MATCH($B947&amp;$C947,'Smelter Look-up'!$J:$J,0))</f>
        <v>#N/A</v>
      </c>
      <c r="X947" s="170">
        <f t="shared" ca="1" si="73"/>
        <v>0</v>
      </c>
      <c r="AB947" s="313" t="str">
        <f t="shared" si="75"/>
        <v/>
      </c>
      <c r="AC947" s="170" t="str">
        <f t="shared" si="76"/>
        <v/>
      </c>
      <c r="AD947" s="170" t="str">
        <f t="shared" si="77"/>
        <v/>
      </c>
    </row>
    <row r="948" spans="1:30" s="170" customFormat="1" ht="20.399999999999999">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74"/>
        <v/>
      </c>
      <c r="T948" s="155" t="str">
        <f ca="1">IF(B948="","",IF(ISERROR(MATCH($J948,SorP!$B$1:$B$6226,0)),"",INDIRECT("'SorP'!$A$"&amp;MATCH($S948&amp;$J948,SorP!C:C,0))))</f>
        <v/>
      </c>
      <c r="U948" s="168"/>
      <c r="V948" s="169" t="e">
        <f>IF(C948="",NA(),MATCH($B948&amp;$C948,'Smelter Look-up'!$J:$J,0))</f>
        <v>#N/A</v>
      </c>
      <c r="X948" s="170">
        <f t="shared" ca="1" si="73"/>
        <v>0</v>
      </c>
      <c r="AB948" s="313" t="str">
        <f t="shared" si="75"/>
        <v/>
      </c>
      <c r="AC948" s="170" t="str">
        <f t="shared" si="76"/>
        <v/>
      </c>
      <c r="AD948" s="170" t="str">
        <f t="shared" si="77"/>
        <v/>
      </c>
    </row>
    <row r="949" spans="1:30" s="170" customFormat="1" ht="20.399999999999999">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74"/>
        <v/>
      </c>
      <c r="T949" s="155" t="str">
        <f ca="1">IF(B949="","",IF(ISERROR(MATCH($J949,SorP!$B$1:$B$6226,0)),"",INDIRECT("'SorP'!$A$"&amp;MATCH($S949&amp;$J949,SorP!C:C,0))))</f>
        <v/>
      </c>
      <c r="U949" s="168"/>
      <c r="V949" s="169" t="e">
        <f>IF(C949="",NA(),MATCH($B949&amp;$C949,'Smelter Look-up'!$J:$J,0))</f>
        <v>#N/A</v>
      </c>
      <c r="X949" s="170">
        <f t="shared" ca="1" si="73"/>
        <v>0</v>
      </c>
      <c r="AB949" s="313" t="str">
        <f t="shared" si="75"/>
        <v/>
      </c>
      <c r="AC949" s="170" t="str">
        <f t="shared" si="76"/>
        <v/>
      </c>
      <c r="AD949" s="170" t="str">
        <f t="shared" si="77"/>
        <v/>
      </c>
    </row>
    <row r="950" spans="1:30" s="170" customFormat="1" ht="20.399999999999999">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74"/>
        <v/>
      </c>
      <c r="T950" s="155" t="str">
        <f ca="1">IF(B950="","",IF(ISERROR(MATCH($J950,SorP!$B$1:$B$6226,0)),"",INDIRECT("'SorP'!$A$"&amp;MATCH($S950&amp;$J950,SorP!C:C,0))))</f>
        <v/>
      </c>
      <c r="U950" s="168"/>
      <c r="V950" s="169" t="e">
        <f>IF(C950="",NA(),MATCH($B950&amp;$C950,'Smelter Look-up'!$J:$J,0))</f>
        <v>#N/A</v>
      </c>
      <c r="X950" s="170">
        <f t="shared" ca="1" si="73"/>
        <v>0</v>
      </c>
      <c r="AB950" s="313" t="str">
        <f t="shared" si="75"/>
        <v/>
      </c>
      <c r="AC950" s="170" t="str">
        <f t="shared" si="76"/>
        <v/>
      </c>
      <c r="AD950" s="170" t="str">
        <f t="shared" si="77"/>
        <v/>
      </c>
    </row>
    <row r="951" spans="1:30" s="170" customFormat="1" ht="20.399999999999999">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74"/>
        <v/>
      </c>
      <c r="T951" s="155" t="str">
        <f ca="1">IF(B951="","",IF(ISERROR(MATCH($J951,SorP!$B$1:$B$6226,0)),"",INDIRECT("'SorP'!$A$"&amp;MATCH($S951&amp;$J951,SorP!C:C,0))))</f>
        <v/>
      </c>
      <c r="U951" s="168"/>
      <c r="V951" s="169" t="e">
        <f>IF(C951="",NA(),MATCH($B951&amp;$C951,'Smelter Look-up'!$J:$J,0))</f>
        <v>#N/A</v>
      </c>
      <c r="X951" s="170">
        <f t="shared" ca="1" si="73"/>
        <v>0</v>
      </c>
      <c r="AB951" s="313" t="str">
        <f t="shared" si="75"/>
        <v/>
      </c>
      <c r="AC951" s="170" t="str">
        <f t="shared" si="76"/>
        <v/>
      </c>
      <c r="AD951" s="170" t="str">
        <f t="shared" si="77"/>
        <v/>
      </c>
    </row>
    <row r="952" spans="1:30" s="170" customFormat="1" ht="20.399999999999999">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74"/>
        <v/>
      </c>
      <c r="T952" s="155" t="str">
        <f ca="1">IF(B952="","",IF(ISERROR(MATCH($J952,SorP!$B$1:$B$6226,0)),"",INDIRECT("'SorP'!$A$"&amp;MATCH($S952&amp;$J952,SorP!C:C,0))))</f>
        <v/>
      </c>
      <c r="U952" s="168"/>
      <c r="V952" s="169" t="e">
        <f>IF(C952="",NA(),MATCH($B952&amp;$C952,'Smelter Look-up'!$J:$J,0))</f>
        <v>#N/A</v>
      </c>
      <c r="X952" s="170">
        <f t="shared" ca="1" si="73"/>
        <v>0</v>
      </c>
      <c r="AB952" s="313" t="str">
        <f t="shared" si="75"/>
        <v/>
      </c>
      <c r="AC952" s="170" t="str">
        <f t="shared" si="76"/>
        <v/>
      </c>
      <c r="AD952" s="170" t="str">
        <f t="shared" si="77"/>
        <v/>
      </c>
    </row>
    <row r="953" spans="1:30" s="170" customFormat="1" ht="20.399999999999999">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74"/>
        <v/>
      </c>
      <c r="T953" s="155" t="str">
        <f ca="1">IF(B953="","",IF(ISERROR(MATCH($J953,SorP!$B$1:$B$6226,0)),"",INDIRECT("'SorP'!$A$"&amp;MATCH($S953&amp;$J953,SorP!C:C,0))))</f>
        <v/>
      </c>
      <c r="U953" s="168"/>
      <c r="V953" s="169" t="e">
        <f>IF(C953="",NA(),MATCH($B953&amp;$C953,'Smelter Look-up'!$J:$J,0))</f>
        <v>#N/A</v>
      </c>
      <c r="X953" s="170">
        <f t="shared" ca="1" si="73"/>
        <v>0</v>
      </c>
      <c r="AB953" s="313" t="str">
        <f t="shared" si="75"/>
        <v/>
      </c>
      <c r="AC953" s="170" t="str">
        <f t="shared" si="76"/>
        <v/>
      </c>
      <c r="AD953" s="170" t="str">
        <f t="shared" si="77"/>
        <v/>
      </c>
    </row>
    <row r="954" spans="1:30" s="170" customFormat="1" ht="20.399999999999999">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74"/>
        <v/>
      </c>
      <c r="T954" s="155" t="str">
        <f ca="1">IF(B954="","",IF(ISERROR(MATCH($J954,SorP!$B$1:$B$6226,0)),"",INDIRECT("'SorP'!$A$"&amp;MATCH($S954&amp;$J954,SorP!C:C,0))))</f>
        <v/>
      </c>
      <c r="U954" s="168"/>
      <c r="V954" s="169" t="e">
        <f>IF(C954="",NA(),MATCH($B954&amp;$C954,'Smelter Look-up'!$J:$J,0))</f>
        <v>#N/A</v>
      </c>
      <c r="X954" s="170">
        <f t="shared" ca="1" si="73"/>
        <v>0</v>
      </c>
      <c r="AB954" s="313" t="str">
        <f t="shared" si="75"/>
        <v/>
      </c>
      <c r="AC954" s="170" t="str">
        <f t="shared" si="76"/>
        <v/>
      </c>
      <c r="AD954" s="170" t="str">
        <f t="shared" si="77"/>
        <v/>
      </c>
    </row>
    <row r="955" spans="1:30" s="170" customFormat="1" ht="20.399999999999999">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74"/>
        <v/>
      </c>
      <c r="T955" s="155" t="str">
        <f ca="1">IF(B955="","",IF(ISERROR(MATCH($J955,SorP!$B$1:$B$6226,0)),"",INDIRECT("'SorP'!$A$"&amp;MATCH($S955&amp;$J955,SorP!C:C,0))))</f>
        <v/>
      </c>
      <c r="U955" s="168"/>
      <c r="V955" s="169" t="e">
        <f>IF(C955="",NA(),MATCH($B955&amp;$C955,'Smelter Look-up'!$J:$J,0))</f>
        <v>#N/A</v>
      </c>
      <c r="X955" s="170">
        <f t="shared" ca="1" si="73"/>
        <v>0</v>
      </c>
      <c r="AB955" s="313" t="str">
        <f t="shared" si="75"/>
        <v/>
      </c>
      <c r="AC955" s="170" t="str">
        <f t="shared" si="76"/>
        <v/>
      </c>
      <c r="AD955" s="170" t="str">
        <f t="shared" si="77"/>
        <v/>
      </c>
    </row>
    <row r="956" spans="1:30" s="170" customFormat="1" ht="20.399999999999999">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74"/>
        <v/>
      </c>
      <c r="T956" s="155" t="str">
        <f ca="1">IF(B956="","",IF(ISERROR(MATCH($J956,SorP!$B$1:$B$6226,0)),"",INDIRECT("'SorP'!$A$"&amp;MATCH($S956&amp;$J956,SorP!C:C,0))))</f>
        <v/>
      </c>
      <c r="U956" s="168"/>
      <c r="V956" s="169" t="e">
        <f>IF(C956="",NA(),MATCH($B956&amp;$C956,'Smelter Look-up'!$J:$J,0))</f>
        <v>#N/A</v>
      </c>
      <c r="X956" s="170">
        <f t="shared" ca="1" si="73"/>
        <v>0</v>
      </c>
      <c r="AB956" s="313" t="str">
        <f t="shared" si="75"/>
        <v/>
      </c>
      <c r="AC956" s="170" t="str">
        <f t="shared" si="76"/>
        <v/>
      </c>
      <c r="AD956" s="170" t="str">
        <f t="shared" si="77"/>
        <v/>
      </c>
    </row>
    <row r="957" spans="1:30" s="170" customFormat="1" ht="20.399999999999999">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74"/>
        <v/>
      </c>
      <c r="T957" s="155" t="str">
        <f ca="1">IF(B957="","",IF(ISERROR(MATCH($J957,SorP!$B$1:$B$6226,0)),"",INDIRECT("'SorP'!$A$"&amp;MATCH($S957&amp;$J957,SorP!C:C,0))))</f>
        <v/>
      </c>
      <c r="U957" s="168"/>
      <c r="V957" s="169" t="e">
        <f>IF(C957="",NA(),MATCH($B957&amp;$C957,'Smelter Look-up'!$J:$J,0))</f>
        <v>#N/A</v>
      </c>
      <c r="X957" s="170">
        <f t="shared" ca="1" si="73"/>
        <v>0</v>
      </c>
      <c r="AB957" s="313" t="str">
        <f t="shared" si="75"/>
        <v/>
      </c>
      <c r="AC957" s="170" t="str">
        <f t="shared" si="76"/>
        <v/>
      </c>
      <c r="AD957" s="170" t="str">
        <f t="shared" si="77"/>
        <v/>
      </c>
    </row>
    <row r="958" spans="1:30" s="170" customFormat="1" ht="20.399999999999999">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74"/>
        <v/>
      </c>
      <c r="T958" s="155" t="str">
        <f ca="1">IF(B958="","",IF(ISERROR(MATCH($J958,SorP!$B$1:$B$6226,0)),"",INDIRECT("'SorP'!$A$"&amp;MATCH($S958&amp;$J958,SorP!C:C,0))))</f>
        <v/>
      </c>
      <c r="U958" s="168"/>
      <c r="V958" s="169" t="e">
        <f>IF(C958="",NA(),MATCH($B958&amp;$C958,'Smelter Look-up'!$J:$J,0))</f>
        <v>#N/A</v>
      </c>
      <c r="X958" s="170">
        <f t="shared" ca="1" si="73"/>
        <v>0</v>
      </c>
      <c r="AB958" s="313" t="str">
        <f t="shared" si="75"/>
        <v/>
      </c>
      <c r="AC958" s="170" t="str">
        <f t="shared" si="76"/>
        <v/>
      </c>
      <c r="AD958" s="170" t="str">
        <f t="shared" si="77"/>
        <v/>
      </c>
    </row>
    <row r="959" spans="1:30" s="170" customFormat="1" ht="20.399999999999999">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74"/>
        <v/>
      </c>
      <c r="T959" s="155" t="str">
        <f ca="1">IF(B959="","",IF(ISERROR(MATCH($J959,SorP!$B$1:$B$6226,0)),"",INDIRECT("'SorP'!$A$"&amp;MATCH($S959&amp;$J959,SorP!C:C,0))))</f>
        <v/>
      </c>
      <c r="U959" s="168"/>
      <c r="V959" s="169" t="e">
        <f>IF(C959="",NA(),MATCH($B959&amp;$C959,'Smelter Look-up'!$J:$J,0))</f>
        <v>#N/A</v>
      </c>
      <c r="X959" s="170">
        <f t="shared" ref="X959:X1022" ca="1" si="78">IF(AND(C959="Smelter not listed",OR(LEN(D959)=0,LEN(E959)=0)),1,0)</f>
        <v>0</v>
      </c>
      <c r="AB959" s="313" t="str">
        <f t="shared" si="75"/>
        <v/>
      </c>
      <c r="AC959" s="170" t="str">
        <f t="shared" si="76"/>
        <v/>
      </c>
      <c r="AD959" s="170" t="str">
        <f t="shared" si="77"/>
        <v/>
      </c>
    </row>
    <row r="960" spans="1:30" s="170" customFormat="1" ht="20.399999999999999">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ref="S960:S1023" ca="1" si="7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78"/>
        <v>0</v>
      </c>
      <c r="AB960" s="313" t="str">
        <f t="shared" si="75"/>
        <v/>
      </c>
      <c r="AC960" s="170" t="str">
        <f t="shared" si="76"/>
        <v/>
      </c>
      <c r="AD960" s="170" t="str">
        <f t="shared" si="77"/>
        <v/>
      </c>
    </row>
    <row r="961" spans="1:30" s="170" customFormat="1" ht="20.399999999999999">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79"/>
        <v/>
      </c>
      <c r="T961" s="155" t="str">
        <f ca="1">IF(B961="","",IF(ISERROR(MATCH($J961,SorP!$B$1:$B$6226,0)),"",INDIRECT("'SorP'!$A$"&amp;MATCH($S961&amp;$J961,SorP!C:C,0))))</f>
        <v/>
      </c>
      <c r="U961" s="168"/>
      <c r="V961" s="169" t="e">
        <f>IF(C961="",NA(),MATCH($B961&amp;$C961,'Smelter Look-up'!$J:$J,0))</f>
        <v>#N/A</v>
      </c>
      <c r="X961" s="170">
        <f t="shared" ca="1" si="78"/>
        <v>0</v>
      </c>
      <c r="AB961" s="313" t="str">
        <f t="shared" si="75"/>
        <v/>
      </c>
      <c r="AC961" s="170" t="str">
        <f t="shared" si="76"/>
        <v/>
      </c>
      <c r="AD961" s="170" t="str">
        <f t="shared" si="77"/>
        <v/>
      </c>
    </row>
    <row r="962" spans="1:30" s="170" customFormat="1" ht="20.399999999999999">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79"/>
        <v/>
      </c>
      <c r="T962" s="155" t="str">
        <f ca="1">IF(B962="","",IF(ISERROR(MATCH($J962,SorP!$B$1:$B$6226,0)),"",INDIRECT("'SorP'!$A$"&amp;MATCH($S962&amp;$J962,SorP!C:C,0))))</f>
        <v/>
      </c>
      <c r="U962" s="168"/>
      <c r="V962" s="169" t="e">
        <f>IF(C962="",NA(),MATCH($B962&amp;$C962,'Smelter Look-up'!$J:$J,0))</f>
        <v>#N/A</v>
      </c>
      <c r="X962" s="170">
        <f t="shared" ca="1" si="78"/>
        <v>0</v>
      </c>
      <c r="AB962" s="313" t="str">
        <f t="shared" si="75"/>
        <v/>
      </c>
      <c r="AC962" s="170" t="str">
        <f t="shared" si="76"/>
        <v/>
      </c>
      <c r="AD962" s="170" t="str">
        <f t="shared" si="77"/>
        <v/>
      </c>
    </row>
    <row r="963" spans="1:30" s="170" customFormat="1" ht="20.399999999999999">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79"/>
        <v/>
      </c>
      <c r="T963" s="155" t="str">
        <f ca="1">IF(B963="","",IF(ISERROR(MATCH($J963,SorP!$B$1:$B$6226,0)),"",INDIRECT("'SorP'!$A$"&amp;MATCH($S963&amp;$J963,SorP!C:C,0))))</f>
        <v/>
      </c>
      <c r="U963" s="168"/>
      <c r="V963" s="169" t="e">
        <f>IF(C963="",NA(),MATCH($B963&amp;$C963,'Smelter Look-up'!$J:$J,0))</f>
        <v>#N/A</v>
      </c>
      <c r="X963" s="170">
        <f t="shared" ca="1" si="78"/>
        <v>0</v>
      </c>
      <c r="AB963" s="313" t="str">
        <f t="shared" si="75"/>
        <v/>
      </c>
      <c r="AC963" s="170" t="str">
        <f t="shared" si="76"/>
        <v/>
      </c>
      <c r="AD963" s="170" t="str">
        <f t="shared" si="77"/>
        <v/>
      </c>
    </row>
    <row r="964" spans="1:30" s="170" customFormat="1" ht="20.399999999999999">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79"/>
        <v/>
      </c>
      <c r="T964" s="155" t="str">
        <f ca="1">IF(B964="","",IF(ISERROR(MATCH($J964,SorP!$B$1:$B$6226,0)),"",INDIRECT("'SorP'!$A$"&amp;MATCH($S964&amp;$J964,SorP!C:C,0))))</f>
        <v/>
      </c>
      <c r="U964" s="168"/>
      <c r="V964" s="169" t="e">
        <f>IF(C964="",NA(),MATCH($B964&amp;$C964,'Smelter Look-up'!$J:$J,0))</f>
        <v>#N/A</v>
      </c>
      <c r="X964" s="170">
        <f t="shared" ca="1" si="78"/>
        <v>0</v>
      </c>
      <c r="AB964" s="313" t="str">
        <f t="shared" si="75"/>
        <v/>
      </c>
      <c r="AC964" s="170" t="str">
        <f t="shared" si="76"/>
        <v/>
      </c>
      <c r="AD964" s="170" t="str">
        <f t="shared" si="77"/>
        <v/>
      </c>
    </row>
    <row r="965" spans="1:30" s="170" customFormat="1" ht="20.399999999999999">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79"/>
        <v/>
      </c>
      <c r="T965" s="155" t="str">
        <f ca="1">IF(B965="","",IF(ISERROR(MATCH($J965,SorP!$B$1:$B$6226,0)),"",INDIRECT("'SorP'!$A$"&amp;MATCH($S965&amp;$J965,SorP!C:C,0))))</f>
        <v/>
      </c>
      <c r="U965" s="168"/>
      <c r="V965" s="169" t="e">
        <f>IF(C965="",NA(),MATCH($B965&amp;$C965,'Smelter Look-up'!$J:$J,0))</f>
        <v>#N/A</v>
      </c>
      <c r="X965" s="170">
        <f t="shared" ca="1" si="78"/>
        <v>0</v>
      </c>
      <c r="AB965" s="313" t="str">
        <f t="shared" si="75"/>
        <v/>
      </c>
      <c r="AC965" s="170" t="str">
        <f t="shared" si="76"/>
        <v/>
      </c>
      <c r="AD965" s="170" t="str">
        <f t="shared" si="77"/>
        <v/>
      </c>
    </row>
    <row r="966" spans="1:30" s="170" customFormat="1" ht="20.399999999999999">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79"/>
        <v/>
      </c>
      <c r="T966" s="155" t="str">
        <f ca="1">IF(B966="","",IF(ISERROR(MATCH($J966,SorP!$B$1:$B$6226,0)),"",INDIRECT("'SorP'!$A$"&amp;MATCH($S966&amp;$J966,SorP!C:C,0))))</f>
        <v/>
      </c>
      <c r="U966" s="168"/>
      <c r="V966" s="169" t="e">
        <f>IF(C966="",NA(),MATCH($B966&amp;$C966,'Smelter Look-up'!$J:$J,0))</f>
        <v>#N/A</v>
      </c>
      <c r="X966" s="170">
        <f t="shared" ca="1" si="78"/>
        <v>0</v>
      </c>
      <c r="AB966" s="313" t="str">
        <f t="shared" ref="AB966:AB1029" si="80">IF(C966="","",B966)</f>
        <v/>
      </c>
      <c r="AC966" s="170" t="str">
        <f t="shared" ref="AC966:AC1029" si="81">B966</f>
        <v/>
      </c>
      <c r="AD966" s="170" t="str">
        <f t="shared" ref="AD966:AD1029" si="82">IF(C966="Smelter not listed",D966,C966)</f>
        <v/>
      </c>
    </row>
    <row r="967" spans="1:30" s="170" customFormat="1" ht="20.399999999999999">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79"/>
        <v/>
      </c>
      <c r="T967" s="155" t="str">
        <f ca="1">IF(B967="","",IF(ISERROR(MATCH($J967,SorP!$B$1:$B$6226,0)),"",INDIRECT("'SorP'!$A$"&amp;MATCH($S967&amp;$J967,SorP!C:C,0))))</f>
        <v/>
      </c>
      <c r="U967" s="168"/>
      <c r="V967" s="169" t="e">
        <f>IF(C967="",NA(),MATCH($B967&amp;$C967,'Smelter Look-up'!$J:$J,0))</f>
        <v>#N/A</v>
      </c>
      <c r="X967" s="170">
        <f t="shared" ca="1" si="78"/>
        <v>0</v>
      </c>
      <c r="AB967" s="313" t="str">
        <f t="shared" si="80"/>
        <v/>
      </c>
      <c r="AC967" s="170" t="str">
        <f t="shared" si="81"/>
        <v/>
      </c>
      <c r="AD967" s="170" t="str">
        <f t="shared" si="82"/>
        <v/>
      </c>
    </row>
    <row r="968" spans="1:30" s="170" customFormat="1" ht="20.399999999999999">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79"/>
        <v/>
      </c>
      <c r="T968" s="155" t="str">
        <f ca="1">IF(B968="","",IF(ISERROR(MATCH($J968,SorP!$B$1:$B$6226,0)),"",INDIRECT("'SorP'!$A$"&amp;MATCH($S968&amp;$J968,SorP!C:C,0))))</f>
        <v/>
      </c>
      <c r="U968" s="168"/>
      <c r="V968" s="169" t="e">
        <f>IF(C968="",NA(),MATCH($B968&amp;$C968,'Smelter Look-up'!$J:$J,0))</f>
        <v>#N/A</v>
      </c>
      <c r="X968" s="170">
        <f t="shared" ca="1" si="78"/>
        <v>0</v>
      </c>
      <c r="AB968" s="313" t="str">
        <f t="shared" si="80"/>
        <v/>
      </c>
      <c r="AC968" s="170" t="str">
        <f t="shared" si="81"/>
        <v/>
      </c>
      <c r="AD968" s="170" t="str">
        <f t="shared" si="82"/>
        <v/>
      </c>
    </row>
    <row r="969" spans="1:30" s="170" customFormat="1" ht="20.399999999999999">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79"/>
        <v/>
      </c>
      <c r="T969" s="155" t="str">
        <f ca="1">IF(B969="","",IF(ISERROR(MATCH($J969,SorP!$B$1:$B$6226,0)),"",INDIRECT("'SorP'!$A$"&amp;MATCH($S969&amp;$J969,SorP!C:C,0))))</f>
        <v/>
      </c>
      <c r="U969" s="168"/>
      <c r="V969" s="169" t="e">
        <f>IF(C969="",NA(),MATCH($B969&amp;$C969,'Smelter Look-up'!$J:$J,0))</f>
        <v>#N/A</v>
      </c>
      <c r="X969" s="170">
        <f t="shared" ca="1" si="78"/>
        <v>0</v>
      </c>
      <c r="AB969" s="313" t="str">
        <f t="shared" si="80"/>
        <v/>
      </c>
      <c r="AC969" s="170" t="str">
        <f t="shared" si="81"/>
        <v/>
      </c>
      <c r="AD969" s="170" t="str">
        <f t="shared" si="82"/>
        <v/>
      </c>
    </row>
    <row r="970" spans="1:30" s="170" customFormat="1" ht="20.399999999999999">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79"/>
        <v/>
      </c>
      <c r="T970" s="155" t="str">
        <f ca="1">IF(B970="","",IF(ISERROR(MATCH($J970,SorP!$B$1:$B$6226,0)),"",INDIRECT("'SorP'!$A$"&amp;MATCH($S970&amp;$J970,SorP!C:C,0))))</f>
        <v/>
      </c>
      <c r="U970" s="168"/>
      <c r="V970" s="169" t="e">
        <f>IF(C970="",NA(),MATCH($B970&amp;$C970,'Smelter Look-up'!$J:$J,0))</f>
        <v>#N/A</v>
      </c>
      <c r="X970" s="170">
        <f t="shared" ca="1" si="78"/>
        <v>0</v>
      </c>
      <c r="AB970" s="313" t="str">
        <f t="shared" si="80"/>
        <v/>
      </c>
      <c r="AC970" s="170" t="str">
        <f t="shared" si="81"/>
        <v/>
      </c>
      <c r="AD970" s="170" t="str">
        <f t="shared" si="82"/>
        <v/>
      </c>
    </row>
    <row r="971" spans="1:30" s="170" customFormat="1" ht="20.399999999999999">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79"/>
        <v/>
      </c>
      <c r="T971" s="155" t="str">
        <f ca="1">IF(B971="","",IF(ISERROR(MATCH($J971,SorP!$B$1:$B$6226,0)),"",INDIRECT("'SorP'!$A$"&amp;MATCH($S971&amp;$J971,SorP!C:C,0))))</f>
        <v/>
      </c>
      <c r="U971" s="168"/>
      <c r="V971" s="169" t="e">
        <f>IF(C971="",NA(),MATCH($B971&amp;$C971,'Smelter Look-up'!$J:$J,0))</f>
        <v>#N/A</v>
      </c>
      <c r="X971" s="170">
        <f t="shared" ca="1" si="78"/>
        <v>0</v>
      </c>
      <c r="AB971" s="313" t="str">
        <f t="shared" si="80"/>
        <v/>
      </c>
      <c r="AC971" s="170" t="str">
        <f t="shared" si="81"/>
        <v/>
      </c>
      <c r="AD971" s="170" t="str">
        <f t="shared" si="82"/>
        <v/>
      </c>
    </row>
    <row r="972" spans="1:30" s="170" customFormat="1" ht="20.399999999999999">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79"/>
        <v/>
      </c>
      <c r="T972" s="155" t="str">
        <f ca="1">IF(B972="","",IF(ISERROR(MATCH($J972,SorP!$B$1:$B$6226,0)),"",INDIRECT("'SorP'!$A$"&amp;MATCH($S972&amp;$J972,SorP!C:C,0))))</f>
        <v/>
      </c>
      <c r="U972" s="168"/>
      <c r="V972" s="169" t="e">
        <f>IF(C972="",NA(),MATCH($B972&amp;$C972,'Smelter Look-up'!$J:$J,0))</f>
        <v>#N/A</v>
      </c>
      <c r="X972" s="170">
        <f t="shared" ca="1" si="78"/>
        <v>0</v>
      </c>
      <c r="AB972" s="313" t="str">
        <f t="shared" si="80"/>
        <v/>
      </c>
      <c r="AC972" s="170" t="str">
        <f t="shared" si="81"/>
        <v/>
      </c>
      <c r="AD972" s="170" t="str">
        <f t="shared" si="82"/>
        <v/>
      </c>
    </row>
    <row r="973" spans="1:30" s="170" customFormat="1" ht="20.399999999999999">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79"/>
        <v/>
      </c>
      <c r="T973" s="155" t="str">
        <f ca="1">IF(B973="","",IF(ISERROR(MATCH($J973,SorP!$B$1:$B$6226,0)),"",INDIRECT("'SorP'!$A$"&amp;MATCH($S973&amp;$J973,SorP!C:C,0))))</f>
        <v/>
      </c>
      <c r="U973" s="168"/>
      <c r="V973" s="169" t="e">
        <f>IF(C973="",NA(),MATCH($B973&amp;$C973,'Smelter Look-up'!$J:$J,0))</f>
        <v>#N/A</v>
      </c>
      <c r="X973" s="170">
        <f t="shared" ca="1" si="78"/>
        <v>0</v>
      </c>
      <c r="AB973" s="313" t="str">
        <f t="shared" si="80"/>
        <v/>
      </c>
      <c r="AC973" s="170" t="str">
        <f t="shared" si="81"/>
        <v/>
      </c>
      <c r="AD973" s="170" t="str">
        <f t="shared" si="82"/>
        <v/>
      </c>
    </row>
    <row r="974" spans="1:30" s="170" customFormat="1" ht="20.399999999999999">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79"/>
        <v/>
      </c>
      <c r="T974" s="155" t="str">
        <f ca="1">IF(B974="","",IF(ISERROR(MATCH($J974,SorP!$B$1:$B$6226,0)),"",INDIRECT("'SorP'!$A$"&amp;MATCH($S974&amp;$J974,SorP!C:C,0))))</f>
        <v/>
      </c>
      <c r="U974" s="168"/>
      <c r="V974" s="169" t="e">
        <f>IF(C974="",NA(),MATCH($B974&amp;$C974,'Smelter Look-up'!$J:$J,0))</f>
        <v>#N/A</v>
      </c>
      <c r="X974" s="170">
        <f t="shared" ca="1" si="78"/>
        <v>0</v>
      </c>
      <c r="AB974" s="313" t="str">
        <f t="shared" si="80"/>
        <v/>
      </c>
      <c r="AC974" s="170" t="str">
        <f t="shared" si="81"/>
        <v/>
      </c>
      <c r="AD974" s="170" t="str">
        <f t="shared" si="82"/>
        <v/>
      </c>
    </row>
    <row r="975" spans="1:30" s="170" customFormat="1" ht="20.399999999999999">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79"/>
        <v/>
      </c>
      <c r="T975" s="155" t="str">
        <f ca="1">IF(B975="","",IF(ISERROR(MATCH($J975,SorP!$B$1:$B$6226,0)),"",INDIRECT("'SorP'!$A$"&amp;MATCH($S975&amp;$J975,SorP!C:C,0))))</f>
        <v/>
      </c>
      <c r="U975" s="168"/>
      <c r="V975" s="169" t="e">
        <f>IF(C975="",NA(),MATCH($B975&amp;$C975,'Smelter Look-up'!$J:$J,0))</f>
        <v>#N/A</v>
      </c>
      <c r="X975" s="170">
        <f t="shared" ca="1" si="78"/>
        <v>0</v>
      </c>
      <c r="AB975" s="313" t="str">
        <f t="shared" si="80"/>
        <v/>
      </c>
      <c r="AC975" s="170" t="str">
        <f t="shared" si="81"/>
        <v/>
      </c>
      <c r="AD975" s="170" t="str">
        <f t="shared" si="82"/>
        <v/>
      </c>
    </row>
    <row r="976" spans="1:30" s="170" customFormat="1" ht="20.399999999999999">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79"/>
        <v/>
      </c>
      <c r="T976" s="155" t="str">
        <f ca="1">IF(B976="","",IF(ISERROR(MATCH($J976,SorP!$B$1:$B$6226,0)),"",INDIRECT("'SorP'!$A$"&amp;MATCH($S976&amp;$J976,SorP!C:C,0))))</f>
        <v/>
      </c>
      <c r="U976" s="168"/>
      <c r="V976" s="169" t="e">
        <f>IF(C976="",NA(),MATCH($B976&amp;$C976,'Smelter Look-up'!$J:$J,0))</f>
        <v>#N/A</v>
      </c>
      <c r="X976" s="170">
        <f t="shared" ca="1" si="78"/>
        <v>0</v>
      </c>
      <c r="AB976" s="313" t="str">
        <f t="shared" si="80"/>
        <v/>
      </c>
      <c r="AC976" s="170" t="str">
        <f t="shared" si="81"/>
        <v/>
      </c>
      <c r="AD976" s="170" t="str">
        <f t="shared" si="82"/>
        <v/>
      </c>
    </row>
    <row r="977" spans="1:30" s="170" customFormat="1" ht="20.399999999999999">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79"/>
        <v/>
      </c>
      <c r="T977" s="155" t="str">
        <f ca="1">IF(B977="","",IF(ISERROR(MATCH($J977,SorP!$B$1:$B$6226,0)),"",INDIRECT("'SorP'!$A$"&amp;MATCH($S977&amp;$J977,SorP!C:C,0))))</f>
        <v/>
      </c>
      <c r="U977" s="168"/>
      <c r="V977" s="169" t="e">
        <f>IF(C977="",NA(),MATCH($B977&amp;$C977,'Smelter Look-up'!$J:$J,0))</f>
        <v>#N/A</v>
      </c>
      <c r="X977" s="170">
        <f t="shared" ca="1" si="78"/>
        <v>0</v>
      </c>
      <c r="AB977" s="313" t="str">
        <f t="shared" si="80"/>
        <v/>
      </c>
      <c r="AC977" s="170" t="str">
        <f t="shared" si="81"/>
        <v/>
      </c>
      <c r="AD977" s="170" t="str">
        <f t="shared" si="82"/>
        <v/>
      </c>
    </row>
    <row r="978" spans="1:30" s="170" customFormat="1" ht="20.399999999999999">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79"/>
        <v/>
      </c>
      <c r="T978" s="155" t="str">
        <f ca="1">IF(B978="","",IF(ISERROR(MATCH($J978,SorP!$B$1:$B$6226,0)),"",INDIRECT("'SorP'!$A$"&amp;MATCH($S978&amp;$J978,SorP!C:C,0))))</f>
        <v/>
      </c>
      <c r="U978" s="168"/>
      <c r="V978" s="169" t="e">
        <f>IF(C978="",NA(),MATCH($B978&amp;$C978,'Smelter Look-up'!$J:$J,0))</f>
        <v>#N/A</v>
      </c>
      <c r="X978" s="170">
        <f t="shared" ca="1" si="78"/>
        <v>0</v>
      </c>
      <c r="AB978" s="313" t="str">
        <f t="shared" si="80"/>
        <v/>
      </c>
      <c r="AC978" s="170" t="str">
        <f t="shared" si="81"/>
        <v/>
      </c>
      <c r="AD978" s="170" t="str">
        <f t="shared" si="82"/>
        <v/>
      </c>
    </row>
    <row r="979" spans="1:30" s="170" customFormat="1" ht="20.399999999999999">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79"/>
        <v/>
      </c>
      <c r="T979" s="155" t="str">
        <f ca="1">IF(B979="","",IF(ISERROR(MATCH($J979,SorP!$B$1:$B$6226,0)),"",INDIRECT("'SorP'!$A$"&amp;MATCH($S979&amp;$J979,SorP!C:C,0))))</f>
        <v/>
      </c>
      <c r="U979" s="168"/>
      <c r="V979" s="169" t="e">
        <f>IF(C979="",NA(),MATCH($B979&amp;$C979,'Smelter Look-up'!$J:$J,0))</f>
        <v>#N/A</v>
      </c>
      <c r="X979" s="170">
        <f t="shared" ca="1" si="78"/>
        <v>0</v>
      </c>
      <c r="AB979" s="313" t="str">
        <f t="shared" si="80"/>
        <v/>
      </c>
      <c r="AC979" s="170" t="str">
        <f t="shared" si="81"/>
        <v/>
      </c>
      <c r="AD979" s="170" t="str">
        <f t="shared" si="82"/>
        <v/>
      </c>
    </row>
    <row r="980" spans="1:30" s="170" customFormat="1" ht="20.399999999999999">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79"/>
        <v/>
      </c>
      <c r="T980" s="155" t="str">
        <f ca="1">IF(B980="","",IF(ISERROR(MATCH($J980,SorP!$B$1:$B$6226,0)),"",INDIRECT("'SorP'!$A$"&amp;MATCH($S980&amp;$J980,SorP!C:C,0))))</f>
        <v/>
      </c>
      <c r="U980" s="168"/>
      <c r="V980" s="169" t="e">
        <f>IF(C980="",NA(),MATCH($B980&amp;$C980,'Smelter Look-up'!$J:$J,0))</f>
        <v>#N/A</v>
      </c>
      <c r="X980" s="170">
        <f t="shared" ca="1" si="78"/>
        <v>0</v>
      </c>
      <c r="AB980" s="313" t="str">
        <f t="shared" si="80"/>
        <v/>
      </c>
      <c r="AC980" s="170" t="str">
        <f t="shared" si="81"/>
        <v/>
      </c>
      <c r="AD980" s="170" t="str">
        <f t="shared" si="82"/>
        <v/>
      </c>
    </row>
    <row r="981" spans="1:30" s="170" customFormat="1" ht="20.399999999999999">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79"/>
        <v/>
      </c>
      <c r="T981" s="155" t="str">
        <f ca="1">IF(B981="","",IF(ISERROR(MATCH($J981,SorP!$B$1:$B$6226,0)),"",INDIRECT("'SorP'!$A$"&amp;MATCH($S981&amp;$J981,SorP!C:C,0))))</f>
        <v/>
      </c>
      <c r="U981" s="168"/>
      <c r="V981" s="169" t="e">
        <f>IF(C981="",NA(),MATCH($B981&amp;$C981,'Smelter Look-up'!$J:$J,0))</f>
        <v>#N/A</v>
      </c>
      <c r="X981" s="170">
        <f t="shared" ca="1" si="78"/>
        <v>0</v>
      </c>
      <c r="AB981" s="313" t="str">
        <f t="shared" si="80"/>
        <v/>
      </c>
      <c r="AC981" s="170" t="str">
        <f t="shared" si="81"/>
        <v/>
      </c>
      <c r="AD981" s="170" t="str">
        <f t="shared" si="82"/>
        <v/>
      </c>
    </row>
    <row r="982" spans="1:30" s="170" customFormat="1" ht="20.399999999999999">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79"/>
        <v/>
      </c>
      <c r="T982" s="155" t="str">
        <f ca="1">IF(B982="","",IF(ISERROR(MATCH($J982,SorP!$B$1:$B$6226,0)),"",INDIRECT("'SorP'!$A$"&amp;MATCH($S982&amp;$J982,SorP!C:C,0))))</f>
        <v/>
      </c>
      <c r="U982" s="168"/>
      <c r="V982" s="169" t="e">
        <f>IF(C982="",NA(),MATCH($B982&amp;$C982,'Smelter Look-up'!$J:$J,0))</f>
        <v>#N/A</v>
      </c>
      <c r="X982" s="170">
        <f t="shared" ca="1" si="78"/>
        <v>0</v>
      </c>
      <c r="AB982" s="313" t="str">
        <f t="shared" si="80"/>
        <v/>
      </c>
      <c r="AC982" s="170" t="str">
        <f t="shared" si="81"/>
        <v/>
      </c>
      <c r="AD982" s="170" t="str">
        <f t="shared" si="82"/>
        <v/>
      </c>
    </row>
    <row r="983" spans="1:30" s="170" customFormat="1" ht="20.399999999999999">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79"/>
        <v/>
      </c>
      <c r="T983" s="155" t="str">
        <f ca="1">IF(B983="","",IF(ISERROR(MATCH($J983,SorP!$B$1:$B$6226,0)),"",INDIRECT("'SorP'!$A$"&amp;MATCH($S983&amp;$J983,SorP!C:C,0))))</f>
        <v/>
      </c>
      <c r="U983" s="168"/>
      <c r="V983" s="169" t="e">
        <f>IF(C983="",NA(),MATCH($B983&amp;$C983,'Smelter Look-up'!$J:$J,0))</f>
        <v>#N/A</v>
      </c>
      <c r="X983" s="170">
        <f t="shared" ca="1" si="78"/>
        <v>0</v>
      </c>
      <c r="AB983" s="313" t="str">
        <f t="shared" si="80"/>
        <v/>
      </c>
      <c r="AC983" s="170" t="str">
        <f t="shared" si="81"/>
        <v/>
      </c>
      <c r="AD983" s="170" t="str">
        <f t="shared" si="82"/>
        <v/>
      </c>
    </row>
    <row r="984" spans="1:30" s="170" customFormat="1" ht="20.399999999999999">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79"/>
        <v/>
      </c>
      <c r="T984" s="155" t="str">
        <f ca="1">IF(B984="","",IF(ISERROR(MATCH($J984,SorP!$B$1:$B$6226,0)),"",INDIRECT("'SorP'!$A$"&amp;MATCH($S984&amp;$J984,SorP!C:C,0))))</f>
        <v/>
      </c>
      <c r="U984" s="168"/>
      <c r="V984" s="169" t="e">
        <f>IF(C984="",NA(),MATCH($B984&amp;$C984,'Smelter Look-up'!$J:$J,0))</f>
        <v>#N/A</v>
      </c>
      <c r="X984" s="170">
        <f t="shared" ca="1" si="78"/>
        <v>0</v>
      </c>
      <c r="AB984" s="313" t="str">
        <f t="shared" si="80"/>
        <v/>
      </c>
      <c r="AC984" s="170" t="str">
        <f t="shared" si="81"/>
        <v/>
      </c>
      <c r="AD984" s="170" t="str">
        <f t="shared" si="82"/>
        <v/>
      </c>
    </row>
    <row r="985" spans="1:30" s="170" customFormat="1" ht="20.399999999999999">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79"/>
        <v/>
      </c>
      <c r="T985" s="155" t="str">
        <f ca="1">IF(B985="","",IF(ISERROR(MATCH($J985,SorP!$B$1:$B$6226,0)),"",INDIRECT("'SorP'!$A$"&amp;MATCH($S985&amp;$J985,SorP!C:C,0))))</f>
        <v/>
      </c>
      <c r="U985" s="168"/>
      <c r="V985" s="169" t="e">
        <f>IF(C985="",NA(),MATCH($B985&amp;$C985,'Smelter Look-up'!$J:$J,0))</f>
        <v>#N/A</v>
      </c>
      <c r="X985" s="170">
        <f t="shared" ca="1" si="78"/>
        <v>0</v>
      </c>
      <c r="AB985" s="313" t="str">
        <f t="shared" si="80"/>
        <v/>
      </c>
      <c r="AC985" s="170" t="str">
        <f t="shared" si="81"/>
        <v/>
      </c>
      <c r="AD985" s="170" t="str">
        <f t="shared" si="82"/>
        <v/>
      </c>
    </row>
    <row r="986" spans="1:30" s="170" customFormat="1" ht="20.399999999999999">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79"/>
        <v/>
      </c>
      <c r="T986" s="155" t="str">
        <f ca="1">IF(B986="","",IF(ISERROR(MATCH($J986,SorP!$B$1:$B$6226,0)),"",INDIRECT("'SorP'!$A$"&amp;MATCH($S986&amp;$J986,SorP!C:C,0))))</f>
        <v/>
      </c>
      <c r="U986" s="168"/>
      <c r="V986" s="169" t="e">
        <f>IF(C986="",NA(),MATCH($B986&amp;$C986,'Smelter Look-up'!$J:$J,0))</f>
        <v>#N/A</v>
      </c>
      <c r="X986" s="170">
        <f t="shared" ca="1" si="78"/>
        <v>0</v>
      </c>
      <c r="AB986" s="313" t="str">
        <f t="shared" si="80"/>
        <v/>
      </c>
      <c r="AC986" s="170" t="str">
        <f t="shared" si="81"/>
        <v/>
      </c>
      <c r="AD986" s="170" t="str">
        <f t="shared" si="82"/>
        <v/>
      </c>
    </row>
    <row r="987" spans="1:30" s="170" customFormat="1" ht="20.399999999999999">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79"/>
        <v/>
      </c>
      <c r="T987" s="155" t="str">
        <f ca="1">IF(B987="","",IF(ISERROR(MATCH($J987,SorP!$B$1:$B$6226,0)),"",INDIRECT("'SorP'!$A$"&amp;MATCH($S987&amp;$J987,SorP!C:C,0))))</f>
        <v/>
      </c>
      <c r="U987" s="168"/>
      <c r="V987" s="169" t="e">
        <f>IF(C987="",NA(),MATCH($B987&amp;$C987,'Smelter Look-up'!$J:$J,0))</f>
        <v>#N/A</v>
      </c>
      <c r="X987" s="170">
        <f t="shared" ca="1" si="78"/>
        <v>0</v>
      </c>
      <c r="AB987" s="313" t="str">
        <f t="shared" si="80"/>
        <v/>
      </c>
      <c r="AC987" s="170" t="str">
        <f t="shared" si="81"/>
        <v/>
      </c>
      <c r="AD987" s="170" t="str">
        <f t="shared" si="82"/>
        <v/>
      </c>
    </row>
    <row r="988" spans="1:30" s="170" customFormat="1" ht="20.399999999999999">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79"/>
        <v/>
      </c>
      <c r="T988" s="155" t="str">
        <f ca="1">IF(B988="","",IF(ISERROR(MATCH($J988,SorP!$B$1:$B$6226,0)),"",INDIRECT("'SorP'!$A$"&amp;MATCH($S988&amp;$J988,SorP!C:C,0))))</f>
        <v/>
      </c>
      <c r="U988" s="168"/>
      <c r="V988" s="169" t="e">
        <f>IF(C988="",NA(),MATCH($B988&amp;$C988,'Smelter Look-up'!$J:$J,0))</f>
        <v>#N/A</v>
      </c>
      <c r="X988" s="170">
        <f t="shared" ca="1" si="78"/>
        <v>0</v>
      </c>
      <c r="AB988" s="313" t="str">
        <f t="shared" si="80"/>
        <v/>
      </c>
      <c r="AC988" s="170" t="str">
        <f t="shared" si="81"/>
        <v/>
      </c>
      <c r="AD988" s="170" t="str">
        <f t="shared" si="82"/>
        <v/>
      </c>
    </row>
    <row r="989" spans="1:30" s="170" customFormat="1" ht="20.399999999999999">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79"/>
        <v/>
      </c>
      <c r="T989" s="155" t="str">
        <f ca="1">IF(B989="","",IF(ISERROR(MATCH($J989,SorP!$B$1:$B$6226,0)),"",INDIRECT("'SorP'!$A$"&amp;MATCH($S989&amp;$J989,SorP!C:C,0))))</f>
        <v/>
      </c>
      <c r="U989" s="168"/>
      <c r="V989" s="169" t="e">
        <f>IF(C989="",NA(),MATCH($B989&amp;$C989,'Smelter Look-up'!$J:$J,0))</f>
        <v>#N/A</v>
      </c>
      <c r="X989" s="170">
        <f t="shared" ca="1" si="78"/>
        <v>0</v>
      </c>
      <c r="AB989" s="313" t="str">
        <f t="shared" si="80"/>
        <v/>
      </c>
      <c r="AC989" s="170" t="str">
        <f t="shared" si="81"/>
        <v/>
      </c>
      <c r="AD989" s="170" t="str">
        <f t="shared" si="82"/>
        <v/>
      </c>
    </row>
    <row r="990" spans="1:30" s="170" customFormat="1" ht="20.399999999999999">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79"/>
        <v/>
      </c>
      <c r="T990" s="155" t="str">
        <f ca="1">IF(B990="","",IF(ISERROR(MATCH($J990,SorP!$B$1:$B$6226,0)),"",INDIRECT("'SorP'!$A$"&amp;MATCH($S990&amp;$J990,SorP!C:C,0))))</f>
        <v/>
      </c>
      <c r="U990" s="168"/>
      <c r="V990" s="169" t="e">
        <f>IF(C990="",NA(),MATCH($B990&amp;$C990,'Smelter Look-up'!$J:$J,0))</f>
        <v>#N/A</v>
      </c>
      <c r="X990" s="170">
        <f t="shared" ca="1" si="78"/>
        <v>0</v>
      </c>
      <c r="AB990" s="313" t="str">
        <f t="shared" si="80"/>
        <v/>
      </c>
      <c r="AC990" s="170" t="str">
        <f t="shared" si="81"/>
        <v/>
      </c>
      <c r="AD990" s="170" t="str">
        <f t="shared" si="82"/>
        <v/>
      </c>
    </row>
    <row r="991" spans="1:30" s="170" customFormat="1" ht="20.399999999999999">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79"/>
        <v/>
      </c>
      <c r="T991" s="155" t="str">
        <f ca="1">IF(B991="","",IF(ISERROR(MATCH($J991,SorP!$B$1:$B$6226,0)),"",INDIRECT("'SorP'!$A$"&amp;MATCH($S991&amp;$J991,SorP!C:C,0))))</f>
        <v/>
      </c>
      <c r="U991" s="168"/>
      <c r="V991" s="169" t="e">
        <f>IF(C991="",NA(),MATCH($B991&amp;$C991,'Smelter Look-up'!$J:$J,0))</f>
        <v>#N/A</v>
      </c>
      <c r="X991" s="170">
        <f t="shared" ca="1" si="78"/>
        <v>0</v>
      </c>
      <c r="AB991" s="313" t="str">
        <f t="shared" si="80"/>
        <v/>
      </c>
      <c r="AC991" s="170" t="str">
        <f t="shared" si="81"/>
        <v/>
      </c>
      <c r="AD991" s="170" t="str">
        <f t="shared" si="82"/>
        <v/>
      </c>
    </row>
    <row r="992" spans="1:30" s="170" customFormat="1" ht="20.399999999999999">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79"/>
        <v/>
      </c>
      <c r="T992" s="155" t="str">
        <f ca="1">IF(B992="","",IF(ISERROR(MATCH($J992,SorP!$B$1:$B$6226,0)),"",INDIRECT("'SorP'!$A$"&amp;MATCH($S992&amp;$J992,SorP!C:C,0))))</f>
        <v/>
      </c>
      <c r="U992" s="168"/>
      <c r="V992" s="169" t="e">
        <f>IF(C992="",NA(),MATCH($B992&amp;$C992,'Smelter Look-up'!$J:$J,0))</f>
        <v>#N/A</v>
      </c>
      <c r="X992" s="170">
        <f t="shared" ca="1" si="78"/>
        <v>0</v>
      </c>
      <c r="AB992" s="313" t="str">
        <f t="shared" si="80"/>
        <v/>
      </c>
      <c r="AC992" s="170" t="str">
        <f t="shared" si="81"/>
        <v/>
      </c>
      <c r="AD992" s="170" t="str">
        <f t="shared" si="82"/>
        <v/>
      </c>
    </row>
    <row r="993" spans="1:30" s="170" customFormat="1" ht="20.399999999999999">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79"/>
        <v/>
      </c>
      <c r="T993" s="155" t="str">
        <f ca="1">IF(B993="","",IF(ISERROR(MATCH($J993,SorP!$B$1:$B$6226,0)),"",INDIRECT("'SorP'!$A$"&amp;MATCH($S993&amp;$J993,SorP!C:C,0))))</f>
        <v/>
      </c>
      <c r="U993" s="168"/>
      <c r="V993" s="169" t="e">
        <f>IF(C993="",NA(),MATCH($B993&amp;$C993,'Smelter Look-up'!$J:$J,0))</f>
        <v>#N/A</v>
      </c>
      <c r="X993" s="170">
        <f t="shared" ca="1" si="78"/>
        <v>0</v>
      </c>
      <c r="AB993" s="313" t="str">
        <f t="shared" si="80"/>
        <v/>
      </c>
      <c r="AC993" s="170" t="str">
        <f t="shared" si="81"/>
        <v/>
      </c>
      <c r="AD993" s="170" t="str">
        <f t="shared" si="82"/>
        <v/>
      </c>
    </row>
    <row r="994" spans="1:30" s="170" customFormat="1" ht="20.399999999999999">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79"/>
        <v/>
      </c>
      <c r="T994" s="155" t="str">
        <f ca="1">IF(B994="","",IF(ISERROR(MATCH($J994,SorP!$B$1:$B$6226,0)),"",INDIRECT("'SorP'!$A$"&amp;MATCH($S994&amp;$J994,SorP!C:C,0))))</f>
        <v/>
      </c>
      <c r="U994" s="168"/>
      <c r="V994" s="169" t="e">
        <f>IF(C994="",NA(),MATCH($B994&amp;$C994,'Smelter Look-up'!$J:$J,0))</f>
        <v>#N/A</v>
      </c>
      <c r="X994" s="170">
        <f t="shared" ca="1" si="78"/>
        <v>0</v>
      </c>
      <c r="AB994" s="313" t="str">
        <f t="shared" si="80"/>
        <v/>
      </c>
      <c r="AC994" s="170" t="str">
        <f t="shared" si="81"/>
        <v/>
      </c>
      <c r="AD994" s="170" t="str">
        <f t="shared" si="82"/>
        <v/>
      </c>
    </row>
    <row r="995" spans="1:30" s="170" customFormat="1" ht="20.399999999999999">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79"/>
        <v/>
      </c>
      <c r="T995" s="155" t="str">
        <f ca="1">IF(B995="","",IF(ISERROR(MATCH($J995,SorP!$B$1:$B$6226,0)),"",INDIRECT("'SorP'!$A$"&amp;MATCH($S995&amp;$J995,SorP!C:C,0))))</f>
        <v/>
      </c>
      <c r="U995" s="168"/>
      <c r="V995" s="169" t="e">
        <f>IF(C995="",NA(),MATCH($B995&amp;$C995,'Smelter Look-up'!$J:$J,0))</f>
        <v>#N/A</v>
      </c>
      <c r="X995" s="170">
        <f t="shared" ca="1" si="78"/>
        <v>0</v>
      </c>
      <c r="AB995" s="313" t="str">
        <f t="shared" si="80"/>
        <v/>
      </c>
      <c r="AC995" s="170" t="str">
        <f t="shared" si="81"/>
        <v/>
      </c>
      <c r="AD995" s="170" t="str">
        <f t="shared" si="82"/>
        <v/>
      </c>
    </row>
    <row r="996" spans="1:30" s="170" customFormat="1" ht="20.399999999999999">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79"/>
        <v/>
      </c>
      <c r="T996" s="155" t="str">
        <f ca="1">IF(B996="","",IF(ISERROR(MATCH($J996,SorP!$B$1:$B$6226,0)),"",INDIRECT("'SorP'!$A$"&amp;MATCH($S996&amp;$J996,SorP!C:C,0))))</f>
        <v/>
      </c>
      <c r="U996" s="168"/>
      <c r="V996" s="169" t="e">
        <f>IF(C996="",NA(),MATCH($B996&amp;$C996,'Smelter Look-up'!$J:$J,0))</f>
        <v>#N/A</v>
      </c>
      <c r="X996" s="170">
        <f t="shared" ca="1" si="78"/>
        <v>0</v>
      </c>
      <c r="AB996" s="313" t="str">
        <f t="shared" si="80"/>
        <v/>
      </c>
      <c r="AC996" s="170" t="str">
        <f t="shared" si="81"/>
        <v/>
      </c>
      <c r="AD996" s="170" t="str">
        <f t="shared" si="82"/>
        <v/>
      </c>
    </row>
    <row r="997" spans="1:30" s="170" customFormat="1" ht="20.399999999999999">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79"/>
        <v/>
      </c>
      <c r="T997" s="155" t="str">
        <f ca="1">IF(B997="","",IF(ISERROR(MATCH($J997,SorP!$B$1:$B$6226,0)),"",INDIRECT("'SorP'!$A$"&amp;MATCH($S997&amp;$J997,SorP!C:C,0))))</f>
        <v/>
      </c>
      <c r="U997" s="168"/>
      <c r="V997" s="169" t="e">
        <f>IF(C997="",NA(),MATCH($B997&amp;$C997,'Smelter Look-up'!$J:$J,0))</f>
        <v>#N/A</v>
      </c>
      <c r="X997" s="170">
        <f t="shared" ca="1" si="78"/>
        <v>0</v>
      </c>
      <c r="AB997" s="313" t="str">
        <f t="shared" si="80"/>
        <v/>
      </c>
      <c r="AC997" s="170" t="str">
        <f t="shared" si="81"/>
        <v/>
      </c>
      <c r="AD997" s="170" t="str">
        <f t="shared" si="82"/>
        <v/>
      </c>
    </row>
    <row r="998" spans="1:30" s="170" customFormat="1" ht="20.399999999999999">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79"/>
        <v/>
      </c>
      <c r="T998" s="155" t="str">
        <f ca="1">IF(B998="","",IF(ISERROR(MATCH($J998,SorP!$B$1:$B$6226,0)),"",INDIRECT("'SorP'!$A$"&amp;MATCH($S998&amp;$J998,SorP!C:C,0))))</f>
        <v/>
      </c>
      <c r="U998" s="168"/>
      <c r="V998" s="169" t="e">
        <f>IF(C998="",NA(),MATCH($B998&amp;$C998,'Smelter Look-up'!$J:$J,0))</f>
        <v>#N/A</v>
      </c>
      <c r="X998" s="170">
        <f t="shared" ca="1" si="78"/>
        <v>0</v>
      </c>
      <c r="AB998" s="313" t="str">
        <f t="shared" si="80"/>
        <v/>
      </c>
      <c r="AC998" s="170" t="str">
        <f t="shared" si="81"/>
        <v/>
      </c>
      <c r="AD998" s="170" t="str">
        <f t="shared" si="82"/>
        <v/>
      </c>
    </row>
    <row r="999" spans="1:30" s="170" customFormat="1" ht="20.399999999999999">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79"/>
        <v/>
      </c>
      <c r="T999" s="155" t="str">
        <f ca="1">IF(B999="","",IF(ISERROR(MATCH($J999,SorP!$B$1:$B$6226,0)),"",INDIRECT("'SorP'!$A$"&amp;MATCH($S999&amp;$J999,SorP!C:C,0))))</f>
        <v/>
      </c>
      <c r="U999" s="168"/>
      <c r="V999" s="169" t="e">
        <f>IF(C999="",NA(),MATCH($B999&amp;$C999,'Smelter Look-up'!$J:$J,0))</f>
        <v>#N/A</v>
      </c>
      <c r="X999" s="170">
        <f t="shared" ca="1" si="78"/>
        <v>0</v>
      </c>
      <c r="AB999" s="313" t="str">
        <f t="shared" si="80"/>
        <v/>
      </c>
      <c r="AC999" s="170" t="str">
        <f t="shared" si="81"/>
        <v/>
      </c>
      <c r="AD999" s="170" t="str">
        <f t="shared" si="82"/>
        <v/>
      </c>
    </row>
    <row r="1000" spans="1:30" s="170" customFormat="1" ht="20.399999999999999">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79"/>
        <v/>
      </c>
      <c r="T1000" s="155" t="str">
        <f ca="1">IF(B1000="","",IF(ISERROR(MATCH($J1000,SorP!$B$1:$B$6226,0)),"",INDIRECT("'SorP'!$A$"&amp;MATCH($S1000&amp;$J1000,SorP!C:C,0))))</f>
        <v/>
      </c>
      <c r="U1000" s="168"/>
      <c r="V1000" s="169" t="e">
        <f>IF(C1000="",NA(),MATCH($B1000&amp;$C1000,'Smelter Look-up'!$J:$J,0))</f>
        <v>#N/A</v>
      </c>
      <c r="X1000" s="170">
        <f t="shared" ca="1" si="78"/>
        <v>0</v>
      </c>
      <c r="AB1000" s="313" t="str">
        <f t="shared" si="80"/>
        <v/>
      </c>
      <c r="AC1000" s="170" t="str">
        <f t="shared" si="81"/>
        <v/>
      </c>
      <c r="AD1000" s="170" t="str">
        <f t="shared" si="82"/>
        <v/>
      </c>
    </row>
    <row r="1001" spans="1:30" s="170" customFormat="1" ht="20.399999999999999">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79"/>
        <v/>
      </c>
      <c r="T1001" s="155" t="str">
        <f ca="1">IF(B1001="","",IF(ISERROR(MATCH($J1001,SorP!$B$1:$B$6226,0)),"",INDIRECT("'SorP'!$A$"&amp;MATCH($S1001&amp;$J1001,SorP!C:C,0))))</f>
        <v/>
      </c>
      <c r="U1001" s="168"/>
      <c r="V1001" s="169" t="e">
        <f>IF(C1001="",NA(),MATCH($B1001&amp;$C1001,'Smelter Look-up'!$J:$J,0))</f>
        <v>#N/A</v>
      </c>
      <c r="X1001" s="170">
        <f t="shared" ca="1" si="78"/>
        <v>0</v>
      </c>
      <c r="AB1001" s="313" t="str">
        <f t="shared" si="80"/>
        <v/>
      </c>
      <c r="AC1001" s="170" t="str">
        <f t="shared" si="81"/>
        <v/>
      </c>
      <c r="AD1001" s="170" t="str">
        <f t="shared" si="82"/>
        <v/>
      </c>
    </row>
    <row r="1002" spans="1:30" s="170" customFormat="1" ht="20.399999999999999">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79"/>
        <v/>
      </c>
      <c r="T1002" s="155" t="str">
        <f ca="1">IF(B1002="","",IF(ISERROR(MATCH($J1002,SorP!$B$1:$B$6226,0)),"",INDIRECT("'SorP'!$A$"&amp;MATCH($S1002&amp;$J1002,SorP!C:C,0))))</f>
        <v/>
      </c>
      <c r="U1002" s="168"/>
      <c r="V1002" s="169" t="e">
        <f>IF(C1002="",NA(),MATCH($B1002&amp;$C1002,'Smelter Look-up'!$J:$J,0))</f>
        <v>#N/A</v>
      </c>
      <c r="X1002" s="170">
        <f t="shared" ca="1" si="78"/>
        <v>0</v>
      </c>
      <c r="AB1002" s="313" t="str">
        <f t="shared" si="80"/>
        <v/>
      </c>
      <c r="AC1002" s="170" t="str">
        <f t="shared" si="81"/>
        <v/>
      </c>
      <c r="AD1002" s="170" t="str">
        <f t="shared" si="82"/>
        <v/>
      </c>
    </row>
    <row r="1003" spans="1:30" s="170" customFormat="1" ht="20.399999999999999">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79"/>
        <v/>
      </c>
      <c r="T1003" s="155" t="str">
        <f ca="1">IF(B1003="","",IF(ISERROR(MATCH($J1003,SorP!$B$1:$B$6226,0)),"",INDIRECT("'SorP'!$A$"&amp;MATCH($S1003&amp;$J1003,SorP!C:C,0))))</f>
        <v/>
      </c>
      <c r="U1003" s="168"/>
      <c r="V1003" s="169" t="e">
        <f>IF(C1003="",NA(),MATCH($B1003&amp;$C1003,'Smelter Look-up'!$J:$J,0))</f>
        <v>#N/A</v>
      </c>
      <c r="X1003" s="170">
        <f t="shared" ca="1" si="78"/>
        <v>0</v>
      </c>
      <c r="AB1003" s="313" t="str">
        <f t="shared" si="80"/>
        <v/>
      </c>
      <c r="AC1003" s="170" t="str">
        <f t="shared" si="81"/>
        <v/>
      </c>
      <c r="AD1003" s="170" t="str">
        <f t="shared" si="82"/>
        <v/>
      </c>
    </row>
    <row r="1004" spans="1:30" s="170" customFormat="1" ht="20.399999999999999">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79"/>
        <v/>
      </c>
      <c r="T1004" s="155" t="str">
        <f ca="1">IF(B1004="","",IF(ISERROR(MATCH($J1004,SorP!$B$1:$B$6226,0)),"",INDIRECT("'SorP'!$A$"&amp;MATCH($S1004&amp;$J1004,SorP!C:C,0))))</f>
        <v/>
      </c>
      <c r="U1004" s="168"/>
      <c r="V1004" s="169" t="e">
        <f>IF(C1004="",NA(),MATCH($B1004&amp;$C1004,'Smelter Look-up'!$J:$J,0))</f>
        <v>#N/A</v>
      </c>
      <c r="X1004" s="170">
        <f t="shared" ca="1" si="78"/>
        <v>0</v>
      </c>
      <c r="AB1004" s="313" t="str">
        <f t="shared" si="80"/>
        <v/>
      </c>
      <c r="AC1004" s="170" t="str">
        <f t="shared" si="81"/>
        <v/>
      </c>
      <c r="AD1004" s="170" t="str">
        <f t="shared" si="82"/>
        <v/>
      </c>
    </row>
    <row r="1005" spans="1:30" s="170" customFormat="1" ht="20.399999999999999">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79"/>
        <v/>
      </c>
      <c r="T1005" s="155" t="str">
        <f ca="1">IF(B1005="","",IF(ISERROR(MATCH($J1005,SorP!$B$1:$B$6226,0)),"",INDIRECT("'SorP'!$A$"&amp;MATCH($S1005&amp;$J1005,SorP!C:C,0))))</f>
        <v/>
      </c>
      <c r="U1005" s="168"/>
      <c r="V1005" s="169" t="e">
        <f>IF(C1005="",NA(),MATCH($B1005&amp;$C1005,'Smelter Look-up'!$J:$J,0))</f>
        <v>#N/A</v>
      </c>
      <c r="X1005" s="170">
        <f t="shared" ca="1" si="78"/>
        <v>0</v>
      </c>
      <c r="AB1005" s="313" t="str">
        <f t="shared" si="80"/>
        <v/>
      </c>
      <c r="AC1005" s="170" t="str">
        <f t="shared" si="81"/>
        <v/>
      </c>
      <c r="AD1005" s="170" t="str">
        <f t="shared" si="82"/>
        <v/>
      </c>
    </row>
    <row r="1006" spans="1:30" s="170" customFormat="1" ht="20.399999999999999">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79"/>
        <v/>
      </c>
      <c r="T1006" s="155" t="str">
        <f ca="1">IF(B1006="","",IF(ISERROR(MATCH($J1006,SorP!$B$1:$B$6226,0)),"",INDIRECT("'SorP'!$A$"&amp;MATCH($S1006&amp;$J1006,SorP!C:C,0))))</f>
        <v/>
      </c>
      <c r="U1006" s="168"/>
      <c r="V1006" s="169" t="e">
        <f>IF(C1006="",NA(),MATCH($B1006&amp;$C1006,'Smelter Look-up'!$J:$J,0))</f>
        <v>#N/A</v>
      </c>
      <c r="X1006" s="170">
        <f t="shared" ca="1" si="78"/>
        <v>0</v>
      </c>
      <c r="AB1006" s="313" t="str">
        <f t="shared" si="80"/>
        <v/>
      </c>
      <c r="AC1006" s="170" t="str">
        <f t="shared" si="81"/>
        <v/>
      </c>
      <c r="AD1006" s="170" t="str">
        <f t="shared" si="82"/>
        <v/>
      </c>
    </row>
    <row r="1007" spans="1:30" s="170" customFormat="1" ht="20.399999999999999">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79"/>
        <v/>
      </c>
      <c r="T1007" s="155" t="str">
        <f ca="1">IF(B1007="","",IF(ISERROR(MATCH($J1007,SorP!$B$1:$B$6226,0)),"",INDIRECT("'SorP'!$A$"&amp;MATCH($S1007&amp;$J1007,SorP!C:C,0))))</f>
        <v/>
      </c>
      <c r="U1007" s="168"/>
      <c r="V1007" s="169" t="e">
        <f>IF(C1007="",NA(),MATCH($B1007&amp;$C1007,'Smelter Look-up'!$J:$J,0))</f>
        <v>#N/A</v>
      </c>
      <c r="X1007" s="170">
        <f t="shared" ca="1" si="78"/>
        <v>0</v>
      </c>
      <c r="AB1007" s="313" t="str">
        <f t="shared" si="80"/>
        <v/>
      </c>
      <c r="AC1007" s="170" t="str">
        <f t="shared" si="81"/>
        <v/>
      </c>
      <c r="AD1007" s="170" t="str">
        <f t="shared" si="82"/>
        <v/>
      </c>
    </row>
    <row r="1008" spans="1:30" s="170" customFormat="1" ht="20.399999999999999">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79"/>
        <v/>
      </c>
      <c r="T1008" s="155" t="str">
        <f ca="1">IF(B1008="","",IF(ISERROR(MATCH($J1008,SorP!$B$1:$B$6226,0)),"",INDIRECT("'SorP'!$A$"&amp;MATCH($S1008&amp;$J1008,SorP!C:C,0))))</f>
        <v/>
      </c>
      <c r="U1008" s="168"/>
      <c r="V1008" s="169" t="e">
        <f>IF(C1008="",NA(),MATCH($B1008&amp;$C1008,'Smelter Look-up'!$J:$J,0))</f>
        <v>#N/A</v>
      </c>
      <c r="X1008" s="170">
        <f t="shared" ca="1" si="78"/>
        <v>0</v>
      </c>
      <c r="AB1008" s="313" t="str">
        <f t="shared" si="80"/>
        <v/>
      </c>
      <c r="AC1008" s="170" t="str">
        <f t="shared" si="81"/>
        <v/>
      </c>
      <c r="AD1008" s="170" t="str">
        <f t="shared" si="82"/>
        <v/>
      </c>
    </row>
    <row r="1009" spans="1:30" s="170" customFormat="1" ht="20.399999999999999">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79"/>
        <v/>
      </c>
      <c r="T1009" s="155" t="str">
        <f ca="1">IF(B1009="","",IF(ISERROR(MATCH($J1009,SorP!$B$1:$B$6226,0)),"",INDIRECT("'SorP'!$A$"&amp;MATCH($S1009&amp;$J1009,SorP!C:C,0))))</f>
        <v/>
      </c>
      <c r="U1009" s="168"/>
      <c r="V1009" s="169" t="e">
        <f>IF(C1009="",NA(),MATCH($B1009&amp;$C1009,'Smelter Look-up'!$J:$J,0))</f>
        <v>#N/A</v>
      </c>
      <c r="X1009" s="170">
        <f t="shared" ca="1" si="78"/>
        <v>0</v>
      </c>
      <c r="AB1009" s="313" t="str">
        <f t="shared" si="80"/>
        <v/>
      </c>
      <c r="AC1009" s="170" t="str">
        <f t="shared" si="81"/>
        <v/>
      </c>
      <c r="AD1009" s="170" t="str">
        <f t="shared" si="82"/>
        <v/>
      </c>
    </row>
    <row r="1010" spans="1:30" s="170" customFormat="1" ht="20.399999999999999">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79"/>
        <v/>
      </c>
      <c r="T1010" s="155" t="str">
        <f ca="1">IF(B1010="","",IF(ISERROR(MATCH($J1010,SorP!$B$1:$B$6226,0)),"",INDIRECT("'SorP'!$A$"&amp;MATCH($S1010&amp;$J1010,SorP!C:C,0))))</f>
        <v/>
      </c>
      <c r="U1010" s="168"/>
      <c r="V1010" s="169" t="e">
        <f>IF(C1010="",NA(),MATCH($B1010&amp;$C1010,'Smelter Look-up'!$J:$J,0))</f>
        <v>#N/A</v>
      </c>
      <c r="X1010" s="170">
        <f t="shared" ca="1" si="78"/>
        <v>0</v>
      </c>
      <c r="AB1010" s="313" t="str">
        <f t="shared" si="80"/>
        <v/>
      </c>
      <c r="AC1010" s="170" t="str">
        <f t="shared" si="81"/>
        <v/>
      </c>
      <c r="AD1010" s="170" t="str">
        <f t="shared" si="82"/>
        <v/>
      </c>
    </row>
    <row r="1011" spans="1:30" s="170" customFormat="1" ht="20.399999999999999">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79"/>
        <v/>
      </c>
      <c r="T1011" s="155" t="str">
        <f ca="1">IF(B1011="","",IF(ISERROR(MATCH($J1011,SorP!$B$1:$B$6226,0)),"",INDIRECT("'SorP'!$A$"&amp;MATCH($S1011&amp;$J1011,SorP!C:C,0))))</f>
        <v/>
      </c>
      <c r="U1011" s="168"/>
      <c r="V1011" s="169" t="e">
        <f>IF(C1011="",NA(),MATCH($B1011&amp;$C1011,'Smelter Look-up'!$J:$J,0))</f>
        <v>#N/A</v>
      </c>
      <c r="X1011" s="170">
        <f t="shared" ca="1" si="78"/>
        <v>0</v>
      </c>
      <c r="AB1011" s="313" t="str">
        <f t="shared" si="80"/>
        <v/>
      </c>
      <c r="AC1011" s="170" t="str">
        <f t="shared" si="81"/>
        <v/>
      </c>
      <c r="AD1011" s="170" t="str">
        <f t="shared" si="82"/>
        <v/>
      </c>
    </row>
    <row r="1012" spans="1:30" s="170" customFormat="1" ht="20.399999999999999">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79"/>
        <v/>
      </c>
      <c r="T1012" s="155" t="str">
        <f ca="1">IF(B1012="","",IF(ISERROR(MATCH($J1012,SorP!$B$1:$B$6226,0)),"",INDIRECT("'SorP'!$A$"&amp;MATCH($S1012&amp;$J1012,SorP!C:C,0))))</f>
        <v/>
      </c>
      <c r="U1012" s="168"/>
      <c r="V1012" s="169" t="e">
        <f>IF(C1012="",NA(),MATCH($B1012&amp;$C1012,'Smelter Look-up'!$J:$J,0))</f>
        <v>#N/A</v>
      </c>
      <c r="X1012" s="170">
        <f t="shared" ca="1" si="78"/>
        <v>0</v>
      </c>
      <c r="AB1012" s="313" t="str">
        <f t="shared" si="80"/>
        <v/>
      </c>
      <c r="AC1012" s="170" t="str">
        <f t="shared" si="81"/>
        <v/>
      </c>
      <c r="AD1012" s="170" t="str">
        <f t="shared" si="82"/>
        <v/>
      </c>
    </row>
    <row r="1013" spans="1:30" s="170" customFormat="1" ht="20.399999999999999">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79"/>
        <v/>
      </c>
      <c r="T1013" s="155" t="str">
        <f ca="1">IF(B1013="","",IF(ISERROR(MATCH($J1013,SorP!$B$1:$B$6226,0)),"",INDIRECT("'SorP'!$A$"&amp;MATCH($S1013&amp;$J1013,SorP!C:C,0))))</f>
        <v/>
      </c>
      <c r="U1013" s="168"/>
      <c r="V1013" s="169" t="e">
        <f>IF(C1013="",NA(),MATCH($B1013&amp;$C1013,'Smelter Look-up'!$J:$J,0))</f>
        <v>#N/A</v>
      </c>
      <c r="X1013" s="170">
        <f t="shared" ca="1" si="78"/>
        <v>0</v>
      </c>
      <c r="AB1013" s="313" t="str">
        <f t="shared" si="80"/>
        <v/>
      </c>
      <c r="AC1013" s="170" t="str">
        <f t="shared" si="81"/>
        <v/>
      </c>
      <c r="AD1013" s="170" t="str">
        <f t="shared" si="82"/>
        <v/>
      </c>
    </row>
    <row r="1014" spans="1:30" s="170" customFormat="1" ht="20.399999999999999">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79"/>
        <v/>
      </c>
      <c r="T1014" s="155" t="str">
        <f ca="1">IF(B1014="","",IF(ISERROR(MATCH($J1014,SorP!$B$1:$B$6226,0)),"",INDIRECT("'SorP'!$A$"&amp;MATCH($S1014&amp;$J1014,SorP!C:C,0))))</f>
        <v/>
      </c>
      <c r="U1014" s="168"/>
      <c r="V1014" s="169" t="e">
        <f>IF(C1014="",NA(),MATCH($B1014&amp;$C1014,'Smelter Look-up'!$J:$J,0))</f>
        <v>#N/A</v>
      </c>
      <c r="X1014" s="170">
        <f t="shared" ca="1" si="78"/>
        <v>0</v>
      </c>
      <c r="AB1014" s="313" t="str">
        <f t="shared" si="80"/>
        <v/>
      </c>
      <c r="AC1014" s="170" t="str">
        <f t="shared" si="81"/>
        <v/>
      </c>
      <c r="AD1014" s="170" t="str">
        <f t="shared" si="82"/>
        <v/>
      </c>
    </row>
    <row r="1015" spans="1:30" s="170" customFormat="1" ht="20.399999999999999">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79"/>
        <v/>
      </c>
      <c r="T1015" s="155" t="str">
        <f ca="1">IF(B1015="","",IF(ISERROR(MATCH($J1015,SorP!$B$1:$B$6226,0)),"",INDIRECT("'SorP'!$A$"&amp;MATCH($S1015&amp;$J1015,SorP!C:C,0))))</f>
        <v/>
      </c>
      <c r="U1015" s="168"/>
      <c r="V1015" s="169" t="e">
        <f>IF(C1015="",NA(),MATCH($B1015&amp;$C1015,'Smelter Look-up'!$J:$J,0))</f>
        <v>#N/A</v>
      </c>
      <c r="X1015" s="170">
        <f t="shared" ca="1" si="78"/>
        <v>0</v>
      </c>
      <c r="AB1015" s="313" t="str">
        <f t="shared" si="80"/>
        <v/>
      </c>
      <c r="AC1015" s="170" t="str">
        <f t="shared" si="81"/>
        <v/>
      </c>
      <c r="AD1015" s="170" t="str">
        <f t="shared" si="82"/>
        <v/>
      </c>
    </row>
    <row r="1016" spans="1:30" s="170" customFormat="1" ht="20.399999999999999">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79"/>
        <v/>
      </c>
      <c r="T1016" s="155" t="str">
        <f ca="1">IF(B1016="","",IF(ISERROR(MATCH($J1016,SorP!$B$1:$B$6226,0)),"",INDIRECT("'SorP'!$A$"&amp;MATCH($S1016&amp;$J1016,SorP!C:C,0))))</f>
        <v/>
      </c>
      <c r="U1016" s="168"/>
      <c r="V1016" s="169" t="e">
        <f>IF(C1016="",NA(),MATCH($B1016&amp;$C1016,'Smelter Look-up'!$J:$J,0))</f>
        <v>#N/A</v>
      </c>
      <c r="X1016" s="170">
        <f t="shared" ca="1" si="78"/>
        <v>0</v>
      </c>
      <c r="AB1016" s="313" t="str">
        <f t="shared" si="80"/>
        <v/>
      </c>
      <c r="AC1016" s="170" t="str">
        <f t="shared" si="81"/>
        <v/>
      </c>
      <c r="AD1016" s="170" t="str">
        <f t="shared" si="82"/>
        <v/>
      </c>
    </row>
    <row r="1017" spans="1:30" s="170" customFormat="1" ht="20.399999999999999">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79"/>
        <v/>
      </c>
      <c r="T1017" s="155" t="str">
        <f ca="1">IF(B1017="","",IF(ISERROR(MATCH($J1017,SorP!$B$1:$B$6226,0)),"",INDIRECT("'SorP'!$A$"&amp;MATCH($S1017&amp;$J1017,SorP!C:C,0))))</f>
        <v/>
      </c>
      <c r="U1017" s="168"/>
      <c r="V1017" s="169" t="e">
        <f>IF(C1017="",NA(),MATCH($B1017&amp;$C1017,'Smelter Look-up'!$J:$J,0))</f>
        <v>#N/A</v>
      </c>
      <c r="X1017" s="170">
        <f t="shared" ca="1" si="78"/>
        <v>0</v>
      </c>
      <c r="AB1017" s="313" t="str">
        <f t="shared" si="80"/>
        <v/>
      </c>
      <c r="AC1017" s="170" t="str">
        <f t="shared" si="81"/>
        <v/>
      </c>
      <c r="AD1017" s="170" t="str">
        <f t="shared" si="82"/>
        <v/>
      </c>
    </row>
    <row r="1018" spans="1:30" s="170" customFormat="1" ht="20.399999999999999">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79"/>
        <v/>
      </c>
      <c r="T1018" s="155" t="str">
        <f ca="1">IF(B1018="","",IF(ISERROR(MATCH($J1018,SorP!$B$1:$B$6226,0)),"",INDIRECT("'SorP'!$A$"&amp;MATCH($S1018&amp;$J1018,SorP!C:C,0))))</f>
        <v/>
      </c>
      <c r="U1018" s="168"/>
      <c r="V1018" s="169" t="e">
        <f>IF(C1018="",NA(),MATCH($B1018&amp;$C1018,'Smelter Look-up'!$J:$J,0))</f>
        <v>#N/A</v>
      </c>
      <c r="X1018" s="170">
        <f t="shared" ca="1" si="78"/>
        <v>0</v>
      </c>
      <c r="AB1018" s="313" t="str">
        <f t="shared" si="80"/>
        <v/>
      </c>
      <c r="AC1018" s="170" t="str">
        <f t="shared" si="81"/>
        <v/>
      </c>
      <c r="AD1018" s="170" t="str">
        <f t="shared" si="82"/>
        <v/>
      </c>
    </row>
    <row r="1019" spans="1:30" s="170" customFormat="1" ht="20.399999999999999">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79"/>
        <v/>
      </c>
      <c r="T1019" s="155" t="str">
        <f ca="1">IF(B1019="","",IF(ISERROR(MATCH($J1019,SorP!$B$1:$B$6226,0)),"",INDIRECT("'SorP'!$A$"&amp;MATCH($S1019&amp;$J1019,SorP!C:C,0))))</f>
        <v/>
      </c>
      <c r="U1019" s="168"/>
      <c r="V1019" s="169" t="e">
        <f>IF(C1019="",NA(),MATCH($B1019&amp;$C1019,'Smelter Look-up'!$J:$J,0))</f>
        <v>#N/A</v>
      </c>
      <c r="X1019" s="170">
        <f t="shared" ca="1" si="78"/>
        <v>0</v>
      </c>
      <c r="AB1019" s="313" t="str">
        <f t="shared" si="80"/>
        <v/>
      </c>
      <c r="AC1019" s="170" t="str">
        <f t="shared" si="81"/>
        <v/>
      </c>
      <c r="AD1019" s="170" t="str">
        <f t="shared" si="82"/>
        <v/>
      </c>
    </row>
    <row r="1020" spans="1:30" s="170" customFormat="1" ht="20.399999999999999">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79"/>
        <v/>
      </c>
      <c r="T1020" s="155" t="str">
        <f ca="1">IF(B1020="","",IF(ISERROR(MATCH($J1020,SorP!$B$1:$B$6226,0)),"",INDIRECT("'SorP'!$A$"&amp;MATCH($S1020&amp;$J1020,SorP!C:C,0))))</f>
        <v/>
      </c>
      <c r="U1020" s="168"/>
      <c r="V1020" s="169" t="e">
        <f>IF(C1020="",NA(),MATCH($B1020&amp;$C1020,'Smelter Look-up'!$J:$J,0))</f>
        <v>#N/A</v>
      </c>
      <c r="X1020" s="170">
        <f t="shared" ca="1" si="78"/>
        <v>0</v>
      </c>
      <c r="AB1020" s="313" t="str">
        <f t="shared" si="80"/>
        <v/>
      </c>
      <c r="AC1020" s="170" t="str">
        <f t="shared" si="81"/>
        <v/>
      </c>
      <c r="AD1020" s="170" t="str">
        <f t="shared" si="82"/>
        <v/>
      </c>
    </row>
    <row r="1021" spans="1:30" s="170" customFormat="1" ht="20.399999999999999">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79"/>
        <v/>
      </c>
      <c r="T1021" s="155" t="str">
        <f ca="1">IF(B1021="","",IF(ISERROR(MATCH($J1021,SorP!$B$1:$B$6226,0)),"",INDIRECT("'SorP'!$A$"&amp;MATCH($S1021&amp;$J1021,SorP!C:C,0))))</f>
        <v/>
      </c>
      <c r="U1021" s="168"/>
      <c r="V1021" s="169" t="e">
        <f>IF(C1021="",NA(),MATCH($B1021&amp;$C1021,'Smelter Look-up'!$J:$J,0))</f>
        <v>#N/A</v>
      </c>
      <c r="X1021" s="170">
        <f t="shared" ca="1" si="78"/>
        <v>0</v>
      </c>
      <c r="AB1021" s="313" t="str">
        <f t="shared" si="80"/>
        <v/>
      </c>
      <c r="AC1021" s="170" t="str">
        <f t="shared" si="81"/>
        <v/>
      </c>
      <c r="AD1021" s="170" t="str">
        <f t="shared" si="82"/>
        <v/>
      </c>
    </row>
    <row r="1022" spans="1:30" s="170" customFormat="1" ht="20.399999999999999">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79"/>
        <v/>
      </c>
      <c r="T1022" s="155" t="str">
        <f ca="1">IF(B1022="","",IF(ISERROR(MATCH($J1022,SorP!$B$1:$B$6226,0)),"",INDIRECT("'SorP'!$A$"&amp;MATCH($S1022&amp;$J1022,SorP!C:C,0))))</f>
        <v/>
      </c>
      <c r="U1022" s="168"/>
      <c r="V1022" s="169" t="e">
        <f>IF(C1022="",NA(),MATCH($B1022&amp;$C1022,'Smelter Look-up'!$J:$J,0))</f>
        <v>#N/A</v>
      </c>
      <c r="X1022" s="170">
        <f t="shared" ca="1" si="78"/>
        <v>0</v>
      </c>
      <c r="AB1022" s="313" t="str">
        <f t="shared" si="80"/>
        <v/>
      </c>
      <c r="AC1022" s="170" t="str">
        <f t="shared" si="81"/>
        <v/>
      </c>
      <c r="AD1022" s="170" t="str">
        <f t="shared" si="82"/>
        <v/>
      </c>
    </row>
    <row r="1023" spans="1:30" s="170" customFormat="1" ht="20.399999999999999">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79"/>
        <v/>
      </c>
      <c r="T1023" s="155" t="str">
        <f ca="1">IF(B1023="","",IF(ISERROR(MATCH($J1023,SorP!$B$1:$B$6226,0)),"",INDIRECT("'SorP'!$A$"&amp;MATCH($S1023&amp;$J1023,SorP!C:C,0))))</f>
        <v/>
      </c>
      <c r="U1023" s="168"/>
      <c r="V1023" s="169" t="e">
        <f>IF(C1023="",NA(),MATCH($B1023&amp;$C1023,'Smelter Look-up'!$J:$J,0))</f>
        <v>#N/A</v>
      </c>
      <c r="X1023" s="170">
        <f t="shared" ref="X1023:X1086" ca="1" si="83">IF(AND(C1023="Smelter not listed",OR(LEN(D1023)=0,LEN(E1023)=0)),1,0)</f>
        <v>0</v>
      </c>
      <c r="AB1023" s="313" t="str">
        <f t="shared" si="80"/>
        <v/>
      </c>
      <c r="AC1023" s="170" t="str">
        <f t="shared" si="81"/>
        <v/>
      </c>
      <c r="AD1023" s="170" t="str">
        <f t="shared" si="82"/>
        <v/>
      </c>
    </row>
    <row r="1024" spans="1:30" s="170" customFormat="1" ht="20.399999999999999">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ref="S1024:S1087" ca="1" si="84">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83"/>
        <v>0</v>
      </c>
      <c r="AB1024" s="313" t="str">
        <f t="shared" si="80"/>
        <v/>
      </c>
      <c r="AC1024" s="170" t="str">
        <f t="shared" si="81"/>
        <v/>
      </c>
      <c r="AD1024" s="170" t="str">
        <f t="shared" si="82"/>
        <v/>
      </c>
    </row>
    <row r="1025" spans="1:30" s="170" customFormat="1" ht="20.399999999999999">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84"/>
        <v/>
      </c>
      <c r="T1025" s="155" t="str">
        <f ca="1">IF(B1025="","",IF(ISERROR(MATCH($J1025,SorP!$B$1:$B$6226,0)),"",INDIRECT("'SorP'!$A$"&amp;MATCH($S1025&amp;$J1025,SorP!C:C,0))))</f>
        <v/>
      </c>
      <c r="U1025" s="168"/>
      <c r="V1025" s="169" t="e">
        <f>IF(C1025="",NA(),MATCH($B1025&amp;$C1025,'Smelter Look-up'!$J:$J,0))</f>
        <v>#N/A</v>
      </c>
      <c r="X1025" s="170">
        <f t="shared" ca="1" si="83"/>
        <v>0</v>
      </c>
      <c r="AB1025" s="313" t="str">
        <f t="shared" si="80"/>
        <v/>
      </c>
      <c r="AC1025" s="170" t="str">
        <f t="shared" si="81"/>
        <v/>
      </c>
      <c r="AD1025" s="170" t="str">
        <f t="shared" si="82"/>
        <v/>
      </c>
    </row>
    <row r="1026" spans="1:30" s="170" customFormat="1" ht="20.399999999999999">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84"/>
        <v/>
      </c>
      <c r="T1026" s="155" t="str">
        <f ca="1">IF(B1026="","",IF(ISERROR(MATCH($J1026,SorP!$B$1:$B$6226,0)),"",INDIRECT("'SorP'!$A$"&amp;MATCH($S1026&amp;$J1026,SorP!C:C,0))))</f>
        <v/>
      </c>
      <c r="U1026" s="168"/>
      <c r="V1026" s="169" t="e">
        <f>IF(C1026="",NA(),MATCH($B1026&amp;$C1026,'Smelter Look-up'!$J:$J,0))</f>
        <v>#N/A</v>
      </c>
      <c r="X1026" s="170">
        <f t="shared" ca="1" si="83"/>
        <v>0</v>
      </c>
      <c r="AB1026" s="313" t="str">
        <f t="shared" si="80"/>
        <v/>
      </c>
      <c r="AC1026" s="170" t="str">
        <f t="shared" si="81"/>
        <v/>
      </c>
      <c r="AD1026" s="170" t="str">
        <f t="shared" si="82"/>
        <v/>
      </c>
    </row>
    <row r="1027" spans="1:30" s="170" customFormat="1" ht="20.399999999999999">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84"/>
        <v/>
      </c>
      <c r="T1027" s="155" t="str">
        <f ca="1">IF(B1027="","",IF(ISERROR(MATCH($J1027,SorP!$B$1:$B$6226,0)),"",INDIRECT("'SorP'!$A$"&amp;MATCH($S1027&amp;$J1027,SorP!C:C,0))))</f>
        <v/>
      </c>
      <c r="U1027" s="168"/>
      <c r="V1027" s="169" t="e">
        <f>IF(C1027="",NA(),MATCH($B1027&amp;$C1027,'Smelter Look-up'!$J:$J,0))</f>
        <v>#N/A</v>
      </c>
      <c r="X1027" s="170">
        <f t="shared" ca="1" si="83"/>
        <v>0</v>
      </c>
      <c r="AB1027" s="313" t="str">
        <f t="shared" si="80"/>
        <v/>
      </c>
      <c r="AC1027" s="170" t="str">
        <f t="shared" si="81"/>
        <v/>
      </c>
      <c r="AD1027" s="170" t="str">
        <f t="shared" si="82"/>
        <v/>
      </c>
    </row>
    <row r="1028" spans="1:30" s="170" customFormat="1" ht="20.399999999999999">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84"/>
        <v/>
      </c>
      <c r="T1028" s="155" t="str">
        <f ca="1">IF(B1028="","",IF(ISERROR(MATCH($J1028,SorP!$B$1:$B$6226,0)),"",INDIRECT("'SorP'!$A$"&amp;MATCH($S1028&amp;$J1028,SorP!C:C,0))))</f>
        <v/>
      </c>
      <c r="U1028" s="168"/>
      <c r="V1028" s="169" t="e">
        <f>IF(C1028="",NA(),MATCH($B1028&amp;$C1028,'Smelter Look-up'!$J:$J,0))</f>
        <v>#N/A</v>
      </c>
      <c r="X1028" s="170">
        <f t="shared" ca="1" si="83"/>
        <v>0</v>
      </c>
      <c r="AB1028" s="313" t="str">
        <f t="shared" si="80"/>
        <v/>
      </c>
      <c r="AC1028" s="170" t="str">
        <f t="shared" si="81"/>
        <v/>
      </c>
      <c r="AD1028" s="170" t="str">
        <f t="shared" si="82"/>
        <v/>
      </c>
    </row>
    <row r="1029" spans="1:30" s="170" customFormat="1" ht="20.399999999999999">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84"/>
        <v/>
      </c>
      <c r="T1029" s="155" t="str">
        <f ca="1">IF(B1029="","",IF(ISERROR(MATCH($J1029,SorP!$B$1:$B$6226,0)),"",INDIRECT("'SorP'!$A$"&amp;MATCH($S1029&amp;$J1029,SorP!C:C,0))))</f>
        <v/>
      </c>
      <c r="U1029" s="168"/>
      <c r="V1029" s="169" t="e">
        <f>IF(C1029="",NA(),MATCH($B1029&amp;$C1029,'Smelter Look-up'!$J:$J,0))</f>
        <v>#N/A</v>
      </c>
      <c r="X1029" s="170">
        <f t="shared" ca="1" si="83"/>
        <v>0</v>
      </c>
      <c r="AB1029" s="313" t="str">
        <f t="shared" si="80"/>
        <v/>
      </c>
      <c r="AC1029" s="170" t="str">
        <f t="shared" si="81"/>
        <v/>
      </c>
      <c r="AD1029" s="170" t="str">
        <f t="shared" si="82"/>
        <v/>
      </c>
    </row>
    <row r="1030" spans="1:30" s="170" customFormat="1" ht="20.399999999999999">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84"/>
        <v/>
      </c>
      <c r="T1030" s="155" t="str">
        <f ca="1">IF(B1030="","",IF(ISERROR(MATCH($J1030,SorP!$B$1:$B$6226,0)),"",INDIRECT("'SorP'!$A$"&amp;MATCH($S1030&amp;$J1030,SorP!C:C,0))))</f>
        <v/>
      </c>
      <c r="U1030" s="168"/>
      <c r="V1030" s="169" t="e">
        <f>IF(C1030="",NA(),MATCH($B1030&amp;$C1030,'Smelter Look-up'!$J:$J,0))</f>
        <v>#N/A</v>
      </c>
      <c r="X1030" s="170">
        <f t="shared" ca="1" si="83"/>
        <v>0</v>
      </c>
      <c r="AB1030" s="313" t="str">
        <f t="shared" ref="AB1030:AB1093" si="85">IF(C1030="","",B1030)</f>
        <v/>
      </c>
      <c r="AC1030" s="170" t="str">
        <f t="shared" ref="AC1030:AC1093" si="86">B1030</f>
        <v/>
      </c>
      <c r="AD1030" s="170" t="str">
        <f t="shared" ref="AD1030:AD1093" si="87">IF(C1030="Smelter not listed",D1030,C1030)</f>
        <v/>
      </c>
    </row>
    <row r="1031" spans="1:30" s="170" customFormat="1" ht="20.399999999999999">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84"/>
        <v/>
      </c>
      <c r="T1031" s="155" t="str">
        <f ca="1">IF(B1031="","",IF(ISERROR(MATCH($J1031,SorP!$B$1:$B$6226,0)),"",INDIRECT("'SorP'!$A$"&amp;MATCH($S1031&amp;$J1031,SorP!C:C,0))))</f>
        <v/>
      </c>
      <c r="U1031" s="168"/>
      <c r="V1031" s="169" t="e">
        <f>IF(C1031="",NA(),MATCH($B1031&amp;$C1031,'Smelter Look-up'!$J:$J,0))</f>
        <v>#N/A</v>
      </c>
      <c r="X1031" s="170">
        <f t="shared" ca="1" si="83"/>
        <v>0</v>
      </c>
      <c r="AB1031" s="313" t="str">
        <f t="shared" si="85"/>
        <v/>
      </c>
      <c r="AC1031" s="170" t="str">
        <f t="shared" si="86"/>
        <v/>
      </c>
      <c r="AD1031" s="170" t="str">
        <f t="shared" si="87"/>
        <v/>
      </c>
    </row>
    <row r="1032" spans="1:30" s="170" customFormat="1" ht="20.399999999999999">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84"/>
        <v/>
      </c>
      <c r="T1032" s="155" t="str">
        <f ca="1">IF(B1032="","",IF(ISERROR(MATCH($J1032,SorP!$B$1:$B$6226,0)),"",INDIRECT("'SorP'!$A$"&amp;MATCH($S1032&amp;$J1032,SorP!C:C,0))))</f>
        <v/>
      </c>
      <c r="U1032" s="168"/>
      <c r="V1032" s="169" t="e">
        <f>IF(C1032="",NA(),MATCH($B1032&amp;$C1032,'Smelter Look-up'!$J:$J,0))</f>
        <v>#N/A</v>
      </c>
      <c r="X1032" s="170">
        <f t="shared" ca="1" si="83"/>
        <v>0</v>
      </c>
      <c r="AB1032" s="313" t="str">
        <f t="shared" si="85"/>
        <v/>
      </c>
      <c r="AC1032" s="170" t="str">
        <f t="shared" si="86"/>
        <v/>
      </c>
      <c r="AD1032" s="170" t="str">
        <f t="shared" si="87"/>
        <v/>
      </c>
    </row>
    <row r="1033" spans="1:30" s="170" customFormat="1" ht="20.399999999999999">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84"/>
        <v/>
      </c>
      <c r="T1033" s="155" t="str">
        <f ca="1">IF(B1033="","",IF(ISERROR(MATCH($J1033,SorP!$B$1:$B$6226,0)),"",INDIRECT("'SorP'!$A$"&amp;MATCH($S1033&amp;$J1033,SorP!C:C,0))))</f>
        <v/>
      </c>
      <c r="U1033" s="168"/>
      <c r="V1033" s="169" t="e">
        <f>IF(C1033="",NA(),MATCH($B1033&amp;$C1033,'Smelter Look-up'!$J:$J,0))</f>
        <v>#N/A</v>
      </c>
      <c r="X1033" s="170">
        <f t="shared" ca="1" si="83"/>
        <v>0</v>
      </c>
      <c r="AB1033" s="313" t="str">
        <f t="shared" si="85"/>
        <v/>
      </c>
      <c r="AC1033" s="170" t="str">
        <f t="shared" si="86"/>
        <v/>
      </c>
      <c r="AD1033" s="170" t="str">
        <f t="shared" si="87"/>
        <v/>
      </c>
    </row>
    <row r="1034" spans="1:30" s="170" customFormat="1" ht="20.399999999999999">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84"/>
        <v/>
      </c>
      <c r="T1034" s="155" t="str">
        <f ca="1">IF(B1034="","",IF(ISERROR(MATCH($J1034,SorP!$B$1:$B$6226,0)),"",INDIRECT("'SorP'!$A$"&amp;MATCH($S1034&amp;$J1034,SorP!C:C,0))))</f>
        <v/>
      </c>
      <c r="U1034" s="168"/>
      <c r="V1034" s="169" t="e">
        <f>IF(C1034="",NA(),MATCH($B1034&amp;$C1034,'Smelter Look-up'!$J:$J,0))</f>
        <v>#N/A</v>
      </c>
      <c r="X1034" s="170">
        <f t="shared" ca="1" si="83"/>
        <v>0</v>
      </c>
      <c r="AB1034" s="313" t="str">
        <f t="shared" si="85"/>
        <v/>
      </c>
      <c r="AC1034" s="170" t="str">
        <f t="shared" si="86"/>
        <v/>
      </c>
      <c r="AD1034" s="170" t="str">
        <f t="shared" si="87"/>
        <v/>
      </c>
    </row>
    <row r="1035" spans="1:30" s="170" customFormat="1" ht="20.399999999999999">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84"/>
        <v/>
      </c>
      <c r="T1035" s="155" t="str">
        <f ca="1">IF(B1035="","",IF(ISERROR(MATCH($J1035,SorP!$B$1:$B$6226,0)),"",INDIRECT("'SorP'!$A$"&amp;MATCH($S1035&amp;$J1035,SorP!C:C,0))))</f>
        <v/>
      </c>
      <c r="U1035" s="168"/>
      <c r="V1035" s="169" t="e">
        <f>IF(C1035="",NA(),MATCH($B1035&amp;$C1035,'Smelter Look-up'!$J:$J,0))</f>
        <v>#N/A</v>
      </c>
      <c r="X1035" s="170">
        <f t="shared" ca="1" si="83"/>
        <v>0</v>
      </c>
      <c r="AB1035" s="313" t="str">
        <f t="shared" si="85"/>
        <v/>
      </c>
      <c r="AC1035" s="170" t="str">
        <f t="shared" si="86"/>
        <v/>
      </c>
      <c r="AD1035" s="170" t="str">
        <f t="shared" si="87"/>
        <v/>
      </c>
    </row>
    <row r="1036" spans="1:30" s="170" customFormat="1" ht="20.399999999999999">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84"/>
        <v/>
      </c>
      <c r="T1036" s="155" t="str">
        <f ca="1">IF(B1036="","",IF(ISERROR(MATCH($J1036,SorP!$B$1:$B$6226,0)),"",INDIRECT("'SorP'!$A$"&amp;MATCH($S1036&amp;$J1036,SorP!C:C,0))))</f>
        <v/>
      </c>
      <c r="U1036" s="168"/>
      <c r="V1036" s="169" t="e">
        <f>IF(C1036="",NA(),MATCH($B1036&amp;$C1036,'Smelter Look-up'!$J:$J,0))</f>
        <v>#N/A</v>
      </c>
      <c r="X1036" s="170">
        <f t="shared" ca="1" si="83"/>
        <v>0</v>
      </c>
      <c r="AB1036" s="313" t="str">
        <f t="shared" si="85"/>
        <v/>
      </c>
      <c r="AC1036" s="170" t="str">
        <f t="shared" si="86"/>
        <v/>
      </c>
      <c r="AD1036" s="170" t="str">
        <f t="shared" si="87"/>
        <v/>
      </c>
    </row>
    <row r="1037" spans="1:30" s="170" customFormat="1" ht="20.399999999999999">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84"/>
        <v/>
      </c>
      <c r="T1037" s="155" t="str">
        <f ca="1">IF(B1037="","",IF(ISERROR(MATCH($J1037,SorP!$B$1:$B$6226,0)),"",INDIRECT("'SorP'!$A$"&amp;MATCH($S1037&amp;$J1037,SorP!C:C,0))))</f>
        <v/>
      </c>
      <c r="U1037" s="168"/>
      <c r="V1037" s="169" t="e">
        <f>IF(C1037="",NA(),MATCH($B1037&amp;$C1037,'Smelter Look-up'!$J:$J,0))</f>
        <v>#N/A</v>
      </c>
      <c r="X1037" s="170">
        <f t="shared" ca="1" si="83"/>
        <v>0</v>
      </c>
      <c r="AB1037" s="313" t="str">
        <f t="shared" si="85"/>
        <v/>
      </c>
      <c r="AC1037" s="170" t="str">
        <f t="shared" si="86"/>
        <v/>
      </c>
      <c r="AD1037" s="170" t="str">
        <f t="shared" si="87"/>
        <v/>
      </c>
    </row>
    <row r="1038" spans="1:30" s="170" customFormat="1" ht="20.399999999999999">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84"/>
        <v/>
      </c>
      <c r="T1038" s="155" t="str">
        <f ca="1">IF(B1038="","",IF(ISERROR(MATCH($J1038,SorP!$B$1:$B$6226,0)),"",INDIRECT("'SorP'!$A$"&amp;MATCH($S1038&amp;$J1038,SorP!C:C,0))))</f>
        <v/>
      </c>
      <c r="U1038" s="168"/>
      <c r="V1038" s="169" t="e">
        <f>IF(C1038="",NA(),MATCH($B1038&amp;$C1038,'Smelter Look-up'!$J:$J,0))</f>
        <v>#N/A</v>
      </c>
      <c r="X1038" s="170">
        <f t="shared" ca="1" si="83"/>
        <v>0</v>
      </c>
      <c r="AB1038" s="313" t="str">
        <f t="shared" si="85"/>
        <v/>
      </c>
      <c r="AC1038" s="170" t="str">
        <f t="shared" si="86"/>
        <v/>
      </c>
      <c r="AD1038" s="170" t="str">
        <f t="shared" si="87"/>
        <v/>
      </c>
    </row>
    <row r="1039" spans="1:30" s="170" customFormat="1" ht="20.399999999999999">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84"/>
        <v/>
      </c>
      <c r="T1039" s="155" t="str">
        <f ca="1">IF(B1039="","",IF(ISERROR(MATCH($J1039,SorP!$B$1:$B$6226,0)),"",INDIRECT("'SorP'!$A$"&amp;MATCH($S1039&amp;$J1039,SorP!C:C,0))))</f>
        <v/>
      </c>
      <c r="U1039" s="168"/>
      <c r="V1039" s="169" t="e">
        <f>IF(C1039="",NA(),MATCH($B1039&amp;$C1039,'Smelter Look-up'!$J:$J,0))</f>
        <v>#N/A</v>
      </c>
      <c r="X1039" s="170">
        <f t="shared" ca="1" si="83"/>
        <v>0</v>
      </c>
      <c r="AB1039" s="313" t="str">
        <f t="shared" si="85"/>
        <v/>
      </c>
      <c r="AC1039" s="170" t="str">
        <f t="shared" si="86"/>
        <v/>
      </c>
      <c r="AD1039" s="170" t="str">
        <f t="shared" si="87"/>
        <v/>
      </c>
    </row>
    <row r="1040" spans="1:30" s="170" customFormat="1" ht="20.399999999999999">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84"/>
        <v/>
      </c>
      <c r="T1040" s="155" t="str">
        <f ca="1">IF(B1040="","",IF(ISERROR(MATCH($J1040,SorP!$B$1:$B$6226,0)),"",INDIRECT("'SorP'!$A$"&amp;MATCH($S1040&amp;$J1040,SorP!C:C,0))))</f>
        <v/>
      </c>
      <c r="U1040" s="168"/>
      <c r="V1040" s="169" t="e">
        <f>IF(C1040="",NA(),MATCH($B1040&amp;$C1040,'Smelter Look-up'!$J:$J,0))</f>
        <v>#N/A</v>
      </c>
      <c r="X1040" s="170">
        <f t="shared" ca="1" si="83"/>
        <v>0</v>
      </c>
      <c r="AB1040" s="313" t="str">
        <f t="shared" si="85"/>
        <v/>
      </c>
      <c r="AC1040" s="170" t="str">
        <f t="shared" si="86"/>
        <v/>
      </c>
      <c r="AD1040" s="170" t="str">
        <f t="shared" si="87"/>
        <v/>
      </c>
    </row>
    <row r="1041" spans="1:30" s="170" customFormat="1" ht="20.399999999999999">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84"/>
        <v/>
      </c>
      <c r="T1041" s="155" t="str">
        <f ca="1">IF(B1041="","",IF(ISERROR(MATCH($J1041,SorP!$B$1:$B$6226,0)),"",INDIRECT("'SorP'!$A$"&amp;MATCH($S1041&amp;$J1041,SorP!C:C,0))))</f>
        <v/>
      </c>
      <c r="U1041" s="168"/>
      <c r="V1041" s="169" t="e">
        <f>IF(C1041="",NA(),MATCH($B1041&amp;$C1041,'Smelter Look-up'!$J:$J,0))</f>
        <v>#N/A</v>
      </c>
      <c r="X1041" s="170">
        <f t="shared" ca="1" si="83"/>
        <v>0</v>
      </c>
      <c r="AB1041" s="313" t="str">
        <f t="shared" si="85"/>
        <v/>
      </c>
      <c r="AC1041" s="170" t="str">
        <f t="shared" si="86"/>
        <v/>
      </c>
      <c r="AD1041" s="170" t="str">
        <f t="shared" si="87"/>
        <v/>
      </c>
    </row>
    <row r="1042" spans="1:30" s="170" customFormat="1" ht="20.399999999999999">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84"/>
        <v/>
      </c>
      <c r="T1042" s="155" t="str">
        <f ca="1">IF(B1042="","",IF(ISERROR(MATCH($J1042,SorP!$B$1:$B$6226,0)),"",INDIRECT("'SorP'!$A$"&amp;MATCH($S1042&amp;$J1042,SorP!C:C,0))))</f>
        <v/>
      </c>
      <c r="U1042" s="168"/>
      <c r="V1042" s="169" t="e">
        <f>IF(C1042="",NA(),MATCH($B1042&amp;$C1042,'Smelter Look-up'!$J:$J,0))</f>
        <v>#N/A</v>
      </c>
      <c r="X1042" s="170">
        <f t="shared" ca="1" si="83"/>
        <v>0</v>
      </c>
      <c r="AB1042" s="313" t="str">
        <f t="shared" si="85"/>
        <v/>
      </c>
      <c r="AC1042" s="170" t="str">
        <f t="shared" si="86"/>
        <v/>
      </c>
      <c r="AD1042" s="170" t="str">
        <f t="shared" si="87"/>
        <v/>
      </c>
    </row>
    <row r="1043" spans="1:30" s="170" customFormat="1" ht="20.399999999999999">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84"/>
        <v/>
      </c>
      <c r="T1043" s="155" t="str">
        <f ca="1">IF(B1043="","",IF(ISERROR(MATCH($J1043,SorP!$B$1:$B$6226,0)),"",INDIRECT("'SorP'!$A$"&amp;MATCH($S1043&amp;$J1043,SorP!C:C,0))))</f>
        <v/>
      </c>
      <c r="U1043" s="168"/>
      <c r="V1043" s="169" t="e">
        <f>IF(C1043="",NA(),MATCH($B1043&amp;$C1043,'Smelter Look-up'!$J:$J,0))</f>
        <v>#N/A</v>
      </c>
      <c r="X1043" s="170">
        <f t="shared" ca="1" si="83"/>
        <v>0</v>
      </c>
      <c r="AB1043" s="313" t="str">
        <f t="shared" si="85"/>
        <v/>
      </c>
      <c r="AC1043" s="170" t="str">
        <f t="shared" si="86"/>
        <v/>
      </c>
      <c r="AD1043" s="170" t="str">
        <f t="shared" si="87"/>
        <v/>
      </c>
    </row>
    <row r="1044" spans="1:30" s="170" customFormat="1" ht="20.399999999999999">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84"/>
        <v/>
      </c>
      <c r="T1044" s="155" t="str">
        <f ca="1">IF(B1044="","",IF(ISERROR(MATCH($J1044,SorP!$B$1:$B$6226,0)),"",INDIRECT("'SorP'!$A$"&amp;MATCH($S1044&amp;$J1044,SorP!C:C,0))))</f>
        <v/>
      </c>
      <c r="U1044" s="168"/>
      <c r="V1044" s="169" t="e">
        <f>IF(C1044="",NA(),MATCH($B1044&amp;$C1044,'Smelter Look-up'!$J:$J,0))</f>
        <v>#N/A</v>
      </c>
      <c r="X1044" s="170">
        <f t="shared" ca="1" si="83"/>
        <v>0</v>
      </c>
      <c r="AB1044" s="313" t="str">
        <f t="shared" si="85"/>
        <v/>
      </c>
      <c r="AC1044" s="170" t="str">
        <f t="shared" si="86"/>
        <v/>
      </c>
      <c r="AD1044" s="170" t="str">
        <f t="shared" si="87"/>
        <v/>
      </c>
    </row>
    <row r="1045" spans="1:30" s="170" customFormat="1" ht="20.399999999999999">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84"/>
        <v/>
      </c>
      <c r="T1045" s="155" t="str">
        <f ca="1">IF(B1045="","",IF(ISERROR(MATCH($J1045,SorP!$B$1:$B$6226,0)),"",INDIRECT("'SorP'!$A$"&amp;MATCH($S1045&amp;$J1045,SorP!C:C,0))))</f>
        <v/>
      </c>
      <c r="U1045" s="168"/>
      <c r="V1045" s="169" t="e">
        <f>IF(C1045="",NA(),MATCH($B1045&amp;$C1045,'Smelter Look-up'!$J:$J,0))</f>
        <v>#N/A</v>
      </c>
      <c r="X1045" s="170">
        <f t="shared" ca="1" si="83"/>
        <v>0</v>
      </c>
      <c r="AB1045" s="313" t="str">
        <f t="shared" si="85"/>
        <v/>
      </c>
      <c r="AC1045" s="170" t="str">
        <f t="shared" si="86"/>
        <v/>
      </c>
      <c r="AD1045" s="170" t="str">
        <f t="shared" si="87"/>
        <v/>
      </c>
    </row>
    <row r="1046" spans="1:30" s="170" customFormat="1" ht="20.399999999999999">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84"/>
        <v/>
      </c>
      <c r="T1046" s="155" t="str">
        <f ca="1">IF(B1046="","",IF(ISERROR(MATCH($J1046,SorP!$B$1:$B$6226,0)),"",INDIRECT("'SorP'!$A$"&amp;MATCH($S1046&amp;$J1046,SorP!C:C,0))))</f>
        <v/>
      </c>
      <c r="U1046" s="168"/>
      <c r="V1046" s="169" t="e">
        <f>IF(C1046="",NA(),MATCH($B1046&amp;$C1046,'Smelter Look-up'!$J:$J,0))</f>
        <v>#N/A</v>
      </c>
      <c r="X1046" s="170">
        <f t="shared" ca="1" si="83"/>
        <v>0</v>
      </c>
      <c r="AB1046" s="313" t="str">
        <f t="shared" si="85"/>
        <v/>
      </c>
      <c r="AC1046" s="170" t="str">
        <f t="shared" si="86"/>
        <v/>
      </c>
      <c r="AD1046" s="170" t="str">
        <f t="shared" si="87"/>
        <v/>
      </c>
    </row>
    <row r="1047" spans="1:30" s="170" customFormat="1" ht="20.399999999999999">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84"/>
        <v/>
      </c>
      <c r="T1047" s="155" t="str">
        <f ca="1">IF(B1047="","",IF(ISERROR(MATCH($J1047,SorP!$B$1:$B$6226,0)),"",INDIRECT("'SorP'!$A$"&amp;MATCH($S1047&amp;$J1047,SorP!C:C,0))))</f>
        <v/>
      </c>
      <c r="U1047" s="168"/>
      <c r="V1047" s="169" t="e">
        <f>IF(C1047="",NA(),MATCH($B1047&amp;$C1047,'Smelter Look-up'!$J:$J,0))</f>
        <v>#N/A</v>
      </c>
      <c r="X1047" s="170">
        <f t="shared" ca="1" si="83"/>
        <v>0</v>
      </c>
      <c r="AB1047" s="313" t="str">
        <f t="shared" si="85"/>
        <v/>
      </c>
      <c r="AC1047" s="170" t="str">
        <f t="shared" si="86"/>
        <v/>
      </c>
      <c r="AD1047" s="170" t="str">
        <f t="shared" si="87"/>
        <v/>
      </c>
    </row>
    <row r="1048" spans="1:30" s="170" customFormat="1" ht="20.399999999999999">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84"/>
        <v/>
      </c>
      <c r="T1048" s="155" t="str">
        <f ca="1">IF(B1048="","",IF(ISERROR(MATCH($J1048,SorP!$B$1:$B$6226,0)),"",INDIRECT("'SorP'!$A$"&amp;MATCH($S1048&amp;$J1048,SorP!C:C,0))))</f>
        <v/>
      </c>
      <c r="U1048" s="168"/>
      <c r="V1048" s="169" t="e">
        <f>IF(C1048="",NA(),MATCH($B1048&amp;$C1048,'Smelter Look-up'!$J:$J,0))</f>
        <v>#N/A</v>
      </c>
      <c r="X1048" s="170">
        <f t="shared" ca="1" si="83"/>
        <v>0</v>
      </c>
      <c r="AB1048" s="313" t="str">
        <f t="shared" si="85"/>
        <v/>
      </c>
      <c r="AC1048" s="170" t="str">
        <f t="shared" si="86"/>
        <v/>
      </c>
      <c r="AD1048" s="170" t="str">
        <f t="shared" si="87"/>
        <v/>
      </c>
    </row>
    <row r="1049" spans="1:30" s="170" customFormat="1" ht="20.399999999999999">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84"/>
        <v/>
      </c>
      <c r="T1049" s="155" t="str">
        <f ca="1">IF(B1049="","",IF(ISERROR(MATCH($J1049,SorP!$B$1:$B$6226,0)),"",INDIRECT("'SorP'!$A$"&amp;MATCH($S1049&amp;$J1049,SorP!C:C,0))))</f>
        <v/>
      </c>
      <c r="U1049" s="168"/>
      <c r="V1049" s="169" t="e">
        <f>IF(C1049="",NA(),MATCH($B1049&amp;$C1049,'Smelter Look-up'!$J:$J,0))</f>
        <v>#N/A</v>
      </c>
      <c r="X1049" s="170">
        <f t="shared" ca="1" si="83"/>
        <v>0</v>
      </c>
      <c r="AB1049" s="313" t="str">
        <f t="shared" si="85"/>
        <v/>
      </c>
      <c r="AC1049" s="170" t="str">
        <f t="shared" si="86"/>
        <v/>
      </c>
      <c r="AD1049" s="170" t="str">
        <f t="shared" si="87"/>
        <v/>
      </c>
    </row>
    <row r="1050" spans="1:30" s="170" customFormat="1" ht="20.399999999999999">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84"/>
        <v/>
      </c>
      <c r="T1050" s="155" t="str">
        <f ca="1">IF(B1050="","",IF(ISERROR(MATCH($J1050,SorP!$B$1:$B$6226,0)),"",INDIRECT("'SorP'!$A$"&amp;MATCH($S1050&amp;$J1050,SorP!C:C,0))))</f>
        <v/>
      </c>
      <c r="U1050" s="168"/>
      <c r="V1050" s="169" t="e">
        <f>IF(C1050="",NA(),MATCH($B1050&amp;$C1050,'Smelter Look-up'!$J:$J,0))</f>
        <v>#N/A</v>
      </c>
      <c r="X1050" s="170">
        <f t="shared" ca="1" si="83"/>
        <v>0</v>
      </c>
      <c r="AB1050" s="313" t="str">
        <f t="shared" si="85"/>
        <v/>
      </c>
      <c r="AC1050" s="170" t="str">
        <f t="shared" si="86"/>
        <v/>
      </c>
      <c r="AD1050" s="170" t="str">
        <f t="shared" si="87"/>
        <v/>
      </c>
    </row>
    <row r="1051" spans="1:30" s="170" customFormat="1" ht="20.399999999999999">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84"/>
        <v/>
      </c>
      <c r="T1051" s="155" t="str">
        <f ca="1">IF(B1051="","",IF(ISERROR(MATCH($J1051,SorP!$B$1:$B$6226,0)),"",INDIRECT("'SorP'!$A$"&amp;MATCH($S1051&amp;$J1051,SorP!C:C,0))))</f>
        <v/>
      </c>
      <c r="U1051" s="168"/>
      <c r="V1051" s="169" t="e">
        <f>IF(C1051="",NA(),MATCH($B1051&amp;$C1051,'Smelter Look-up'!$J:$J,0))</f>
        <v>#N/A</v>
      </c>
      <c r="X1051" s="170">
        <f t="shared" ca="1" si="83"/>
        <v>0</v>
      </c>
      <c r="AB1051" s="313" t="str">
        <f t="shared" si="85"/>
        <v/>
      </c>
      <c r="AC1051" s="170" t="str">
        <f t="shared" si="86"/>
        <v/>
      </c>
      <c r="AD1051" s="170" t="str">
        <f t="shared" si="87"/>
        <v/>
      </c>
    </row>
    <row r="1052" spans="1:30" s="170" customFormat="1" ht="20.399999999999999">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84"/>
        <v/>
      </c>
      <c r="T1052" s="155" t="str">
        <f ca="1">IF(B1052="","",IF(ISERROR(MATCH($J1052,SorP!$B$1:$B$6226,0)),"",INDIRECT("'SorP'!$A$"&amp;MATCH($S1052&amp;$J1052,SorP!C:C,0))))</f>
        <v/>
      </c>
      <c r="U1052" s="168"/>
      <c r="V1052" s="169" t="e">
        <f>IF(C1052="",NA(),MATCH($B1052&amp;$C1052,'Smelter Look-up'!$J:$J,0))</f>
        <v>#N/A</v>
      </c>
      <c r="X1052" s="170">
        <f t="shared" ca="1" si="83"/>
        <v>0</v>
      </c>
      <c r="AB1052" s="313" t="str">
        <f t="shared" si="85"/>
        <v/>
      </c>
      <c r="AC1052" s="170" t="str">
        <f t="shared" si="86"/>
        <v/>
      </c>
      <c r="AD1052" s="170" t="str">
        <f t="shared" si="87"/>
        <v/>
      </c>
    </row>
    <row r="1053" spans="1:30" s="170" customFormat="1" ht="20.399999999999999">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84"/>
        <v/>
      </c>
      <c r="T1053" s="155" t="str">
        <f ca="1">IF(B1053="","",IF(ISERROR(MATCH($J1053,SorP!$B$1:$B$6226,0)),"",INDIRECT("'SorP'!$A$"&amp;MATCH($S1053&amp;$J1053,SorP!C:C,0))))</f>
        <v/>
      </c>
      <c r="U1053" s="168"/>
      <c r="V1053" s="169" t="e">
        <f>IF(C1053="",NA(),MATCH($B1053&amp;$C1053,'Smelter Look-up'!$J:$J,0))</f>
        <v>#N/A</v>
      </c>
      <c r="X1053" s="170">
        <f t="shared" ca="1" si="83"/>
        <v>0</v>
      </c>
      <c r="AB1053" s="313" t="str">
        <f t="shared" si="85"/>
        <v/>
      </c>
      <c r="AC1053" s="170" t="str">
        <f t="shared" si="86"/>
        <v/>
      </c>
      <c r="AD1053" s="170" t="str">
        <f t="shared" si="87"/>
        <v/>
      </c>
    </row>
    <row r="1054" spans="1:30" s="170" customFormat="1" ht="20.399999999999999">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84"/>
        <v/>
      </c>
      <c r="T1054" s="155" t="str">
        <f ca="1">IF(B1054="","",IF(ISERROR(MATCH($J1054,SorP!$B$1:$B$6226,0)),"",INDIRECT("'SorP'!$A$"&amp;MATCH($S1054&amp;$J1054,SorP!C:C,0))))</f>
        <v/>
      </c>
      <c r="U1054" s="168"/>
      <c r="V1054" s="169" t="e">
        <f>IF(C1054="",NA(),MATCH($B1054&amp;$C1054,'Smelter Look-up'!$J:$J,0))</f>
        <v>#N/A</v>
      </c>
      <c r="X1054" s="170">
        <f t="shared" ca="1" si="83"/>
        <v>0</v>
      </c>
      <c r="AB1054" s="313" t="str">
        <f t="shared" si="85"/>
        <v/>
      </c>
      <c r="AC1054" s="170" t="str">
        <f t="shared" si="86"/>
        <v/>
      </c>
      <c r="AD1054" s="170" t="str">
        <f t="shared" si="87"/>
        <v/>
      </c>
    </row>
    <row r="1055" spans="1:30" s="170" customFormat="1" ht="20.399999999999999">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84"/>
        <v/>
      </c>
      <c r="T1055" s="155" t="str">
        <f ca="1">IF(B1055="","",IF(ISERROR(MATCH($J1055,SorP!$B$1:$B$6226,0)),"",INDIRECT("'SorP'!$A$"&amp;MATCH($S1055&amp;$J1055,SorP!C:C,0))))</f>
        <v/>
      </c>
      <c r="U1055" s="168"/>
      <c r="V1055" s="169" t="e">
        <f>IF(C1055="",NA(),MATCH($B1055&amp;$C1055,'Smelter Look-up'!$J:$J,0))</f>
        <v>#N/A</v>
      </c>
      <c r="X1055" s="170">
        <f t="shared" ca="1" si="83"/>
        <v>0</v>
      </c>
      <c r="AB1055" s="313" t="str">
        <f t="shared" si="85"/>
        <v/>
      </c>
      <c r="AC1055" s="170" t="str">
        <f t="shared" si="86"/>
        <v/>
      </c>
      <c r="AD1055" s="170" t="str">
        <f t="shared" si="87"/>
        <v/>
      </c>
    </row>
    <row r="1056" spans="1:30" s="170" customFormat="1" ht="20.399999999999999">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84"/>
        <v/>
      </c>
      <c r="T1056" s="155" t="str">
        <f ca="1">IF(B1056="","",IF(ISERROR(MATCH($J1056,SorP!$B$1:$B$6226,0)),"",INDIRECT("'SorP'!$A$"&amp;MATCH($S1056&amp;$J1056,SorP!C:C,0))))</f>
        <v/>
      </c>
      <c r="U1056" s="168"/>
      <c r="V1056" s="169" t="e">
        <f>IF(C1056="",NA(),MATCH($B1056&amp;$C1056,'Smelter Look-up'!$J:$J,0))</f>
        <v>#N/A</v>
      </c>
      <c r="X1056" s="170">
        <f t="shared" ca="1" si="83"/>
        <v>0</v>
      </c>
      <c r="AB1056" s="313" t="str">
        <f t="shared" si="85"/>
        <v/>
      </c>
      <c r="AC1056" s="170" t="str">
        <f t="shared" si="86"/>
        <v/>
      </c>
      <c r="AD1056" s="170" t="str">
        <f t="shared" si="87"/>
        <v/>
      </c>
    </row>
    <row r="1057" spans="1:30" s="170" customFormat="1" ht="20.399999999999999">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84"/>
        <v/>
      </c>
      <c r="T1057" s="155" t="str">
        <f ca="1">IF(B1057="","",IF(ISERROR(MATCH($J1057,SorP!$B$1:$B$6226,0)),"",INDIRECT("'SorP'!$A$"&amp;MATCH($S1057&amp;$J1057,SorP!C:C,0))))</f>
        <v/>
      </c>
      <c r="U1057" s="168"/>
      <c r="V1057" s="169" t="e">
        <f>IF(C1057="",NA(),MATCH($B1057&amp;$C1057,'Smelter Look-up'!$J:$J,0))</f>
        <v>#N/A</v>
      </c>
      <c r="X1057" s="170">
        <f t="shared" ca="1" si="83"/>
        <v>0</v>
      </c>
      <c r="AB1057" s="313" t="str">
        <f t="shared" si="85"/>
        <v/>
      </c>
      <c r="AC1057" s="170" t="str">
        <f t="shared" si="86"/>
        <v/>
      </c>
      <c r="AD1057" s="170" t="str">
        <f t="shared" si="87"/>
        <v/>
      </c>
    </row>
    <row r="1058" spans="1:30" s="170" customFormat="1" ht="20.399999999999999">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84"/>
        <v/>
      </c>
      <c r="T1058" s="155" t="str">
        <f ca="1">IF(B1058="","",IF(ISERROR(MATCH($J1058,SorP!$B$1:$B$6226,0)),"",INDIRECT("'SorP'!$A$"&amp;MATCH($S1058&amp;$J1058,SorP!C:C,0))))</f>
        <v/>
      </c>
      <c r="U1058" s="168"/>
      <c r="V1058" s="169" t="e">
        <f>IF(C1058="",NA(),MATCH($B1058&amp;$C1058,'Smelter Look-up'!$J:$J,0))</f>
        <v>#N/A</v>
      </c>
      <c r="X1058" s="170">
        <f t="shared" ca="1" si="83"/>
        <v>0</v>
      </c>
      <c r="AB1058" s="313" t="str">
        <f t="shared" si="85"/>
        <v/>
      </c>
      <c r="AC1058" s="170" t="str">
        <f t="shared" si="86"/>
        <v/>
      </c>
      <c r="AD1058" s="170" t="str">
        <f t="shared" si="87"/>
        <v/>
      </c>
    </row>
    <row r="1059" spans="1:30" s="170" customFormat="1" ht="20.399999999999999">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84"/>
        <v/>
      </c>
      <c r="T1059" s="155" t="str">
        <f ca="1">IF(B1059="","",IF(ISERROR(MATCH($J1059,SorP!$B$1:$B$6226,0)),"",INDIRECT("'SorP'!$A$"&amp;MATCH($S1059&amp;$J1059,SorP!C:C,0))))</f>
        <v/>
      </c>
      <c r="U1059" s="168"/>
      <c r="V1059" s="169" t="e">
        <f>IF(C1059="",NA(),MATCH($B1059&amp;$C1059,'Smelter Look-up'!$J:$J,0))</f>
        <v>#N/A</v>
      </c>
      <c r="X1059" s="170">
        <f t="shared" ca="1" si="83"/>
        <v>0</v>
      </c>
      <c r="AB1059" s="313" t="str">
        <f t="shared" si="85"/>
        <v/>
      </c>
      <c r="AC1059" s="170" t="str">
        <f t="shared" si="86"/>
        <v/>
      </c>
      <c r="AD1059" s="170" t="str">
        <f t="shared" si="87"/>
        <v/>
      </c>
    </row>
    <row r="1060" spans="1:30" s="170" customFormat="1" ht="20.399999999999999">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84"/>
        <v/>
      </c>
      <c r="T1060" s="155" t="str">
        <f ca="1">IF(B1060="","",IF(ISERROR(MATCH($J1060,SorP!$B$1:$B$6226,0)),"",INDIRECT("'SorP'!$A$"&amp;MATCH($S1060&amp;$J1060,SorP!C:C,0))))</f>
        <v/>
      </c>
      <c r="U1060" s="168"/>
      <c r="V1060" s="169" t="e">
        <f>IF(C1060="",NA(),MATCH($B1060&amp;$C1060,'Smelter Look-up'!$J:$J,0))</f>
        <v>#N/A</v>
      </c>
      <c r="X1060" s="170">
        <f t="shared" ca="1" si="83"/>
        <v>0</v>
      </c>
      <c r="AB1060" s="313" t="str">
        <f t="shared" si="85"/>
        <v/>
      </c>
      <c r="AC1060" s="170" t="str">
        <f t="shared" si="86"/>
        <v/>
      </c>
      <c r="AD1060" s="170" t="str">
        <f t="shared" si="87"/>
        <v/>
      </c>
    </row>
    <row r="1061" spans="1:30" s="170" customFormat="1" ht="20.399999999999999">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84"/>
        <v/>
      </c>
      <c r="T1061" s="155" t="str">
        <f ca="1">IF(B1061="","",IF(ISERROR(MATCH($J1061,SorP!$B$1:$B$6226,0)),"",INDIRECT("'SorP'!$A$"&amp;MATCH($S1061&amp;$J1061,SorP!C:C,0))))</f>
        <v/>
      </c>
      <c r="U1061" s="168"/>
      <c r="V1061" s="169" t="e">
        <f>IF(C1061="",NA(),MATCH($B1061&amp;$C1061,'Smelter Look-up'!$J:$J,0))</f>
        <v>#N/A</v>
      </c>
      <c r="X1061" s="170">
        <f t="shared" ca="1" si="83"/>
        <v>0</v>
      </c>
      <c r="AB1061" s="313" t="str">
        <f t="shared" si="85"/>
        <v/>
      </c>
      <c r="AC1061" s="170" t="str">
        <f t="shared" si="86"/>
        <v/>
      </c>
      <c r="AD1061" s="170" t="str">
        <f t="shared" si="87"/>
        <v/>
      </c>
    </row>
    <row r="1062" spans="1:30" s="170" customFormat="1" ht="20.399999999999999">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84"/>
        <v/>
      </c>
      <c r="T1062" s="155" t="str">
        <f ca="1">IF(B1062="","",IF(ISERROR(MATCH($J1062,SorP!$B$1:$B$6226,0)),"",INDIRECT("'SorP'!$A$"&amp;MATCH($S1062&amp;$J1062,SorP!C:C,0))))</f>
        <v/>
      </c>
      <c r="U1062" s="168"/>
      <c r="V1062" s="169" t="e">
        <f>IF(C1062="",NA(),MATCH($B1062&amp;$C1062,'Smelter Look-up'!$J:$J,0))</f>
        <v>#N/A</v>
      </c>
      <c r="X1062" s="170">
        <f t="shared" ca="1" si="83"/>
        <v>0</v>
      </c>
      <c r="AB1062" s="313" t="str">
        <f t="shared" si="85"/>
        <v/>
      </c>
      <c r="AC1062" s="170" t="str">
        <f t="shared" si="86"/>
        <v/>
      </c>
      <c r="AD1062" s="170" t="str">
        <f t="shared" si="87"/>
        <v/>
      </c>
    </row>
    <row r="1063" spans="1:30" s="170" customFormat="1" ht="20.399999999999999">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84"/>
        <v/>
      </c>
      <c r="T1063" s="155" t="str">
        <f ca="1">IF(B1063="","",IF(ISERROR(MATCH($J1063,SorP!$B$1:$B$6226,0)),"",INDIRECT("'SorP'!$A$"&amp;MATCH($S1063&amp;$J1063,SorP!C:C,0))))</f>
        <v/>
      </c>
      <c r="U1063" s="168"/>
      <c r="V1063" s="169" t="e">
        <f>IF(C1063="",NA(),MATCH($B1063&amp;$C1063,'Smelter Look-up'!$J:$J,0))</f>
        <v>#N/A</v>
      </c>
      <c r="X1063" s="170">
        <f t="shared" ca="1" si="83"/>
        <v>0</v>
      </c>
      <c r="AB1063" s="313" t="str">
        <f t="shared" si="85"/>
        <v/>
      </c>
      <c r="AC1063" s="170" t="str">
        <f t="shared" si="86"/>
        <v/>
      </c>
      <c r="AD1063" s="170" t="str">
        <f t="shared" si="87"/>
        <v/>
      </c>
    </row>
    <row r="1064" spans="1:30" s="170" customFormat="1" ht="20.399999999999999">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84"/>
        <v/>
      </c>
      <c r="T1064" s="155" t="str">
        <f ca="1">IF(B1064="","",IF(ISERROR(MATCH($J1064,SorP!$B$1:$B$6226,0)),"",INDIRECT("'SorP'!$A$"&amp;MATCH($S1064&amp;$J1064,SorP!C:C,0))))</f>
        <v/>
      </c>
      <c r="U1064" s="168"/>
      <c r="V1064" s="169" t="e">
        <f>IF(C1064="",NA(),MATCH($B1064&amp;$C1064,'Smelter Look-up'!$J:$J,0))</f>
        <v>#N/A</v>
      </c>
      <c r="X1064" s="170">
        <f t="shared" ca="1" si="83"/>
        <v>0</v>
      </c>
      <c r="AB1064" s="313" t="str">
        <f t="shared" si="85"/>
        <v/>
      </c>
      <c r="AC1064" s="170" t="str">
        <f t="shared" si="86"/>
        <v/>
      </c>
      <c r="AD1064" s="170" t="str">
        <f t="shared" si="87"/>
        <v/>
      </c>
    </row>
    <row r="1065" spans="1:30" s="170" customFormat="1" ht="20.399999999999999">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84"/>
        <v/>
      </c>
      <c r="T1065" s="155" t="str">
        <f ca="1">IF(B1065="","",IF(ISERROR(MATCH($J1065,SorP!$B$1:$B$6226,0)),"",INDIRECT("'SorP'!$A$"&amp;MATCH($S1065&amp;$J1065,SorP!C:C,0))))</f>
        <v/>
      </c>
      <c r="U1065" s="168"/>
      <c r="V1065" s="169" t="e">
        <f>IF(C1065="",NA(),MATCH($B1065&amp;$C1065,'Smelter Look-up'!$J:$J,0))</f>
        <v>#N/A</v>
      </c>
      <c r="X1065" s="170">
        <f t="shared" ca="1" si="83"/>
        <v>0</v>
      </c>
      <c r="AB1065" s="313" t="str">
        <f t="shared" si="85"/>
        <v/>
      </c>
      <c r="AC1065" s="170" t="str">
        <f t="shared" si="86"/>
        <v/>
      </c>
      <c r="AD1065" s="170" t="str">
        <f t="shared" si="87"/>
        <v/>
      </c>
    </row>
    <row r="1066" spans="1:30" s="170" customFormat="1" ht="20.399999999999999">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84"/>
        <v/>
      </c>
      <c r="T1066" s="155" t="str">
        <f ca="1">IF(B1066="","",IF(ISERROR(MATCH($J1066,SorP!$B$1:$B$6226,0)),"",INDIRECT("'SorP'!$A$"&amp;MATCH($S1066&amp;$J1066,SorP!C:C,0))))</f>
        <v/>
      </c>
      <c r="U1066" s="168"/>
      <c r="V1066" s="169" t="e">
        <f>IF(C1066="",NA(),MATCH($B1066&amp;$C1066,'Smelter Look-up'!$J:$J,0))</f>
        <v>#N/A</v>
      </c>
      <c r="X1066" s="170">
        <f t="shared" ca="1" si="83"/>
        <v>0</v>
      </c>
      <c r="AB1066" s="313" t="str">
        <f t="shared" si="85"/>
        <v/>
      </c>
      <c r="AC1066" s="170" t="str">
        <f t="shared" si="86"/>
        <v/>
      </c>
      <c r="AD1066" s="170" t="str">
        <f t="shared" si="87"/>
        <v/>
      </c>
    </row>
    <row r="1067" spans="1:30" s="170" customFormat="1" ht="20.399999999999999">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84"/>
        <v/>
      </c>
      <c r="T1067" s="155" t="str">
        <f ca="1">IF(B1067="","",IF(ISERROR(MATCH($J1067,SorP!$B$1:$B$6226,0)),"",INDIRECT("'SorP'!$A$"&amp;MATCH($S1067&amp;$J1067,SorP!C:C,0))))</f>
        <v/>
      </c>
      <c r="U1067" s="168"/>
      <c r="V1067" s="169" t="e">
        <f>IF(C1067="",NA(),MATCH($B1067&amp;$C1067,'Smelter Look-up'!$J:$J,0))</f>
        <v>#N/A</v>
      </c>
      <c r="X1067" s="170">
        <f t="shared" ca="1" si="83"/>
        <v>0</v>
      </c>
      <c r="AB1067" s="313" t="str">
        <f t="shared" si="85"/>
        <v/>
      </c>
      <c r="AC1067" s="170" t="str">
        <f t="shared" si="86"/>
        <v/>
      </c>
      <c r="AD1067" s="170" t="str">
        <f t="shared" si="87"/>
        <v/>
      </c>
    </row>
    <row r="1068" spans="1:30" s="170" customFormat="1" ht="20.399999999999999">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84"/>
        <v/>
      </c>
      <c r="T1068" s="155" t="str">
        <f ca="1">IF(B1068="","",IF(ISERROR(MATCH($J1068,SorP!$B$1:$B$6226,0)),"",INDIRECT("'SorP'!$A$"&amp;MATCH($S1068&amp;$J1068,SorP!C:C,0))))</f>
        <v/>
      </c>
      <c r="U1068" s="168"/>
      <c r="V1068" s="169" t="e">
        <f>IF(C1068="",NA(),MATCH($B1068&amp;$C1068,'Smelter Look-up'!$J:$J,0))</f>
        <v>#N/A</v>
      </c>
      <c r="X1068" s="170">
        <f t="shared" ca="1" si="83"/>
        <v>0</v>
      </c>
      <c r="AB1068" s="313" t="str">
        <f t="shared" si="85"/>
        <v/>
      </c>
      <c r="AC1068" s="170" t="str">
        <f t="shared" si="86"/>
        <v/>
      </c>
      <c r="AD1068" s="170" t="str">
        <f t="shared" si="87"/>
        <v/>
      </c>
    </row>
    <row r="1069" spans="1:30" s="170" customFormat="1" ht="20.399999999999999">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84"/>
        <v/>
      </c>
      <c r="T1069" s="155" t="str">
        <f ca="1">IF(B1069="","",IF(ISERROR(MATCH($J1069,SorP!$B$1:$B$6226,0)),"",INDIRECT("'SorP'!$A$"&amp;MATCH($S1069&amp;$J1069,SorP!C:C,0))))</f>
        <v/>
      </c>
      <c r="U1069" s="168"/>
      <c r="V1069" s="169" t="e">
        <f>IF(C1069="",NA(),MATCH($B1069&amp;$C1069,'Smelter Look-up'!$J:$J,0))</f>
        <v>#N/A</v>
      </c>
      <c r="X1069" s="170">
        <f t="shared" ca="1" si="83"/>
        <v>0</v>
      </c>
      <c r="AB1069" s="313" t="str">
        <f t="shared" si="85"/>
        <v/>
      </c>
      <c r="AC1069" s="170" t="str">
        <f t="shared" si="86"/>
        <v/>
      </c>
      <c r="AD1069" s="170" t="str">
        <f t="shared" si="87"/>
        <v/>
      </c>
    </row>
    <row r="1070" spans="1:30" s="170" customFormat="1" ht="20.399999999999999">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84"/>
        <v/>
      </c>
      <c r="T1070" s="155" t="str">
        <f ca="1">IF(B1070="","",IF(ISERROR(MATCH($J1070,SorP!$B$1:$B$6226,0)),"",INDIRECT("'SorP'!$A$"&amp;MATCH($S1070&amp;$J1070,SorP!C:C,0))))</f>
        <v/>
      </c>
      <c r="U1070" s="168"/>
      <c r="V1070" s="169" t="e">
        <f>IF(C1070="",NA(),MATCH($B1070&amp;$C1070,'Smelter Look-up'!$J:$J,0))</f>
        <v>#N/A</v>
      </c>
      <c r="X1070" s="170">
        <f t="shared" ca="1" si="83"/>
        <v>0</v>
      </c>
      <c r="AB1070" s="313" t="str">
        <f t="shared" si="85"/>
        <v/>
      </c>
      <c r="AC1070" s="170" t="str">
        <f t="shared" si="86"/>
        <v/>
      </c>
      <c r="AD1070" s="170" t="str">
        <f t="shared" si="87"/>
        <v/>
      </c>
    </row>
    <row r="1071" spans="1:30" s="170" customFormat="1" ht="20.399999999999999">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84"/>
        <v/>
      </c>
      <c r="T1071" s="155" t="str">
        <f ca="1">IF(B1071="","",IF(ISERROR(MATCH($J1071,SorP!$B$1:$B$6226,0)),"",INDIRECT("'SorP'!$A$"&amp;MATCH($S1071&amp;$J1071,SorP!C:C,0))))</f>
        <v/>
      </c>
      <c r="U1071" s="168"/>
      <c r="V1071" s="169" t="e">
        <f>IF(C1071="",NA(),MATCH($B1071&amp;$C1071,'Smelter Look-up'!$J:$J,0))</f>
        <v>#N/A</v>
      </c>
      <c r="X1071" s="170">
        <f t="shared" ca="1" si="83"/>
        <v>0</v>
      </c>
      <c r="AB1071" s="313" t="str">
        <f t="shared" si="85"/>
        <v/>
      </c>
      <c r="AC1071" s="170" t="str">
        <f t="shared" si="86"/>
        <v/>
      </c>
      <c r="AD1071" s="170" t="str">
        <f t="shared" si="87"/>
        <v/>
      </c>
    </row>
    <row r="1072" spans="1:30" s="170" customFormat="1" ht="20.399999999999999">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84"/>
        <v/>
      </c>
      <c r="T1072" s="155" t="str">
        <f ca="1">IF(B1072="","",IF(ISERROR(MATCH($J1072,SorP!$B$1:$B$6226,0)),"",INDIRECT("'SorP'!$A$"&amp;MATCH($S1072&amp;$J1072,SorP!C:C,0))))</f>
        <v/>
      </c>
      <c r="U1072" s="168"/>
      <c r="V1072" s="169" t="e">
        <f>IF(C1072="",NA(),MATCH($B1072&amp;$C1072,'Smelter Look-up'!$J:$J,0))</f>
        <v>#N/A</v>
      </c>
      <c r="X1072" s="170">
        <f t="shared" ca="1" si="83"/>
        <v>0</v>
      </c>
      <c r="AB1072" s="313" t="str">
        <f t="shared" si="85"/>
        <v/>
      </c>
      <c r="AC1072" s="170" t="str">
        <f t="shared" si="86"/>
        <v/>
      </c>
      <c r="AD1072" s="170" t="str">
        <f t="shared" si="87"/>
        <v/>
      </c>
    </row>
    <row r="1073" spans="1:30" s="170" customFormat="1" ht="20.399999999999999">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84"/>
        <v/>
      </c>
      <c r="T1073" s="155" t="str">
        <f ca="1">IF(B1073="","",IF(ISERROR(MATCH($J1073,SorP!$B$1:$B$6226,0)),"",INDIRECT("'SorP'!$A$"&amp;MATCH($S1073&amp;$J1073,SorP!C:C,0))))</f>
        <v/>
      </c>
      <c r="U1073" s="168"/>
      <c r="V1073" s="169" t="e">
        <f>IF(C1073="",NA(),MATCH($B1073&amp;$C1073,'Smelter Look-up'!$J:$J,0))</f>
        <v>#N/A</v>
      </c>
      <c r="X1073" s="170">
        <f t="shared" ca="1" si="83"/>
        <v>0</v>
      </c>
      <c r="AB1073" s="313" t="str">
        <f t="shared" si="85"/>
        <v/>
      </c>
      <c r="AC1073" s="170" t="str">
        <f t="shared" si="86"/>
        <v/>
      </c>
      <c r="AD1073" s="170" t="str">
        <f t="shared" si="87"/>
        <v/>
      </c>
    </row>
    <row r="1074" spans="1:30" s="170" customFormat="1" ht="20.399999999999999">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84"/>
        <v/>
      </c>
      <c r="T1074" s="155" t="str">
        <f ca="1">IF(B1074="","",IF(ISERROR(MATCH($J1074,SorP!$B$1:$B$6226,0)),"",INDIRECT("'SorP'!$A$"&amp;MATCH($S1074&amp;$J1074,SorP!C:C,0))))</f>
        <v/>
      </c>
      <c r="U1074" s="168"/>
      <c r="V1074" s="169" t="e">
        <f>IF(C1074="",NA(),MATCH($B1074&amp;$C1074,'Smelter Look-up'!$J:$J,0))</f>
        <v>#N/A</v>
      </c>
      <c r="X1074" s="170">
        <f t="shared" ca="1" si="83"/>
        <v>0</v>
      </c>
      <c r="AB1074" s="313" t="str">
        <f t="shared" si="85"/>
        <v/>
      </c>
      <c r="AC1074" s="170" t="str">
        <f t="shared" si="86"/>
        <v/>
      </c>
      <c r="AD1074" s="170" t="str">
        <f t="shared" si="87"/>
        <v/>
      </c>
    </row>
    <row r="1075" spans="1:30" s="170" customFormat="1" ht="20.399999999999999">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84"/>
        <v/>
      </c>
      <c r="T1075" s="155" t="str">
        <f ca="1">IF(B1075="","",IF(ISERROR(MATCH($J1075,SorP!$B$1:$B$6226,0)),"",INDIRECT("'SorP'!$A$"&amp;MATCH($S1075&amp;$J1075,SorP!C:C,0))))</f>
        <v/>
      </c>
      <c r="U1075" s="168"/>
      <c r="V1075" s="169" t="e">
        <f>IF(C1075="",NA(),MATCH($B1075&amp;$C1075,'Smelter Look-up'!$J:$J,0))</f>
        <v>#N/A</v>
      </c>
      <c r="X1075" s="170">
        <f t="shared" ca="1" si="83"/>
        <v>0</v>
      </c>
      <c r="AB1075" s="313" t="str">
        <f t="shared" si="85"/>
        <v/>
      </c>
      <c r="AC1075" s="170" t="str">
        <f t="shared" si="86"/>
        <v/>
      </c>
      <c r="AD1075" s="170" t="str">
        <f t="shared" si="87"/>
        <v/>
      </c>
    </row>
    <row r="1076" spans="1:30" s="170" customFormat="1" ht="20.399999999999999">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84"/>
        <v/>
      </c>
      <c r="T1076" s="155" t="str">
        <f ca="1">IF(B1076="","",IF(ISERROR(MATCH($J1076,SorP!$B$1:$B$6226,0)),"",INDIRECT("'SorP'!$A$"&amp;MATCH($S1076&amp;$J1076,SorP!C:C,0))))</f>
        <v/>
      </c>
      <c r="U1076" s="168"/>
      <c r="V1076" s="169" t="e">
        <f>IF(C1076="",NA(),MATCH($B1076&amp;$C1076,'Smelter Look-up'!$J:$J,0))</f>
        <v>#N/A</v>
      </c>
      <c r="X1076" s="170">
        <f t="shared" ca="1" si="83"/>
        <v>0</v>
      </c>
      <c r="AB1076" s="313" t="str">
        <f t="shared" si="85"/>
        <v/>
      </c>
      <c r="AC1076" s="170" t="str">
        <f t="shared" si="86"/>
        <v/>
      </c>
      <c r="AD1076" s="170" t="str">
        <f t="shared" si="87"/>
        <v/>
      </c>
    </row>
    <row r="1077" spans="1:30" s="170" customFormat="1" ht="20.399999999999999">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84"/>
        <v/>
      </c>
      <c r="T1077" s="155" t="str">
        <f ca="1">IF(B1077="","",IF(ISERROR(MATCH($J1077,SorP!$B$1:$B$6226,0)),"",INDIRECT("'SorP'!$A$"&amp;MATCH($S1077&amp;$J1077,SorP!C:C,0))))</f>
        <v/>
      </c>
      <c r="U1077" s="168"/>
      <c r="V1077" s="169" t="e">
        <f>IF(C1077="",NA(),MATCH($B1077&amp;$C1077,'Smelter Look-up'!$J:$J,0))</f>
        <v>#N/A</v>
      </c>
      <c r="X1077" s="170">
        <f t="shared" ca="1" si="83"/>
        <v>0</v>
      </c>
      <c r="AB1077" s="313" t="str">
        <f t="shared" si="85"/>
        <v/>
      </c>
      <c r="AC1077" s="170" t="str">
        <f t="shared" si="86"/>
        <v/>
      </c>
      <c r="AD1077" s="170" t="str">
        <f t="shared" si="87"/>
        <v/>
      </c>
    </row>
    <row r="1078" spans="1:30" s="170" customFormat="1" ht="20.399999999999999">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84"/>
        <v/>
      </c>
      <c r="T1078" s="155" t="str">
        <f ca="1">IF(B1078="","",IF(ISERROR(MATCH($J1078,SorP!$B$1:$B$6226,0)),"",INDIRECT("'SorP'!$A$"&amp;MATCH($S1078&amp;$J1078,SorP!C:C,0))))</f>
        <v/>
      </c>
      <c r="U1078" s="168"/>
      <c r="V1078" s="169" t="e">
        <f>IF(C1078="",NA(),MATCH($B1078&amp;$C1078,'Smelter Look-up'!$J:$J,0))</f>
        <v>#N/A</v>
      </c>
      <c r="X1078" s="170">
        <f t="shared" ca="1" si="83"/>
        <v>0</v>
      </c>
      <c r="AB1078" s="313" t="str">
        <f t="shared" si="85"/>
        <v/>
      </c>
      <c r="AC1078" s="170" t="str">
        <f t="shared" si="86"/>
        <v/>
      </c>
      <c r="AD1078" s="170" t="str">
        <f t="shared" si="87"/>
        <v/>
      </c>
    </row>
    <row r="1079" spans="1:30" s="170" customFormat="1" ht="20.399999999999999">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84"/>
        <v/>
      </c>
      <c r="T1079" s="155" t="str">
        <f ca="1">IF(B1079="","",IF(ISERROR(MATCH($J1079,SorP!$B$1:$B$6226,0)),"",INDIRECT("'SorP'!$A$"&amp;MATCH($S1079&amp;$J1079,SorP!C:C,0))))</f>
        <v/>
      </c>
      <c r="U1079" s="168"/>
      <c r="V1079" s="169" t="e">
        <f>IF(C1079="",NA(),MATCH($B1079&amp;$C1079,'Smelter Look-up'!$J:$J,0))</f>
        <v>#N/A</v>
      </c>
      <c r="X1079" s="170">
        <f t="shared" ca="1" si="83"/>
        <v>0</v>
      </c>
      <c r="AB1079" s="313" t="str">
        <f t="shared" si="85"/>
        <v/>
      </c>
      <c r="AC1079" s="170" t="str">
        <f t="shared" si="86"/>
        <v/>
      </c>
      <c r="AD1079" s="170" t="str">
        <f t="shared" si="87"/>
        <v/>
      </c>
    </row>
    <row r="1080" spans="1:30" s="170" customFormat="1" ht="20.399999999999999">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84"/>
        <v/>
      </c>
      <c r="T1080" s="155" t="str">
        <f ca="1">IF(B1080="","",IF(ISERROR(MATCH($J1080,SorP!$B$1:$B$6226,0)),"",INDIRECT("'SorP'!$A$"&amp;MATCH($S1080&amp;$J1080,SorP!C:C,0))))</f>
        <v/>
      </c>
      <c r="U1080" s="168"/>
      <c r="V1080" s="169" t="e">
        <f>IF(C1080="",NA(),MATCH($B1080&amp;$C1080,'Smelter Look-up'!$J:$J,0))</f>
        <v>#N/A</v>
      </c>
      <c r="X1080" s="170">
        <f t="shared" ca="1" si="83"/>
        <v>0</v>
      </c>
      <c r="AB1080" s="313" t="str">
        <f t="shared" si="85"/>
        <v/>
      </c>
      <c r="AC1080" s="170" t="str">
        <f t="shared" si="86"/>
        <v/>
      </c>
      <c r="AD1080" s="170" t="str">
        <f t="shared" si="87"/>
        <v/>
      </c>
    </row>
    <row r="1081" spans="1:30" s="170" customFormat="1" ht="20.399999999999999">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84"/>
        <v/>
      </c>
      <c r="T1081" s="155" t="str">
        <f ca="1">IF(B1081="","",IF(ISERROR(MATCH($J1081,SorP!$B$1:$B$6226,0)),"",INDIRECT("'SorP'!$A$"&amp;MATCH($S1081&amp;$J1081,SorP!C:C,0))))</f>
        <v/>
      </c>
      <c r="U1081" s="168"/>
      <c r="V1081" s="169" t="e">
        <f>IF(C1081="",NA(),MATCH($B1081&amp;$C1081,'Smelter Look-up'!$J:$J,0))</f>
        <v>#N/A</v>
      </c>
      <c r="X1081" s="170">
        <f t="shared" ca="1" si="83"/>
        <v>0</v>
      </c>
      <c r="AB1081" s="313" t="str">
        <f t="shared" si="85"/>
        <v/>
      </c>
      <c r="AC1081" s="170" t="str">
        <f t="shared" si="86"/>
        <v/>
      </c>
      <c r="AD1081" s="170" t="str">
        <f t="shared" si="87"/>
        <v/>
      </c>
    </row>
    <row r="1082" spans="1:30" s="170" customFormat="1" ht="20.399999999999999">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84"/>
        <v/>
      </c>
      <c r="T1082" s="155" t="str">
        <f ca="1">IF(B1082="","",IF(ISERROR(MATCH($J1082,SorP!$B$1:$B$6226,0)),"",INDIRECT("'SorP'!$A$"&amp;MATCH($S1082&amp;$J1082,SorP!C:C,0))))</f>
        <v/>
      </c>
      <c r="U1082" s="168"/>
      <c r="V1082" s="169" t="e">
        <f>IF(C1082="",NA(),MATCH($B1082&amp;$C1082,'Smelter Look-up'!$J:$J,0))</f>
        <v>#N/A</v>
      </c>
      <c r="X1082" s="170">
        <f t="shared" ca="1" si="83"/>
        <v>0</v>
      </c>
      <c r="AB1082" s="313" t="str">
        <f t="shared" si="85"/>
        <v/>
      </c>
      <c r="AC1082" s="170" t="str">
        <f t="shared" si="86"/>
        <v/>
      </c>
      <c r="AD1082" s="170" t="str">
        <f t="shared" si="87"/>
        <v/>
      </c>
    </row>
    <row r="1083" spans="1:30" s="170" customFormat="1" ht="20.399999999999999">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84"/>
        <v/>
      </c>
      <c r="T1083" s="155" t="str">
        <f ca="1">IF(B1083="","",IF(ISERROR(MATCH($J1083,SorP!$B$1:$B$6226,0)),"",INDIRECT("'SorP'!$A$"&amp;MATCH($S1083&amp;$J1083,SorP!C:C,0))))</f>
        <v/>
      </c>
      <c r="U1083" s="168"/>
      <c r="V1083" s="169" t="e">
        <f>IF(C1083="",NA(),MATCH($B1083&amp;$C1083,'Smelter Look-up'!$J:$J,0))</f>
        <v>#N/A</v>
      </c>
      <c r="X1083" s="170">
        <f t="shared" ca="1" si="83"/>
        <v>0</v>
      </c>
      <c r="AB1083" s="313" t="str">
        <f t="shared" si="85"/>
        <v/>
      </c>
      <c r="AC1083" s="170" t="str">
        <f t="shared" si="86"/>
        <v/>
      </c>
      <c r="AD1083" s="170" t="str">
        <f t="shared" si="87"/>
        <v/>
      </c>
    </row>
    <row r="1084" spans="1:30" s="170" customFormat="1" ht="20.399999999999999">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84"/>
        <v/>
      </c>
      <c r="T1084" s="155" t="str">
        <f ca="1">IF(B1084="","",IF(ISERROR(MATCH($J1084,SorP!$B$1:$B$6226,0)),"",INDIRECT("'SorP'!$A$"&amp;MATCH($S1084&amp;$J1084,SorP!C:C,0))))</f>
        <v/>
      </c>
      <c r="U1084" s="168"/>
      <c r="V1084" s="169" t="e">
        <f>IF(C1084="",NA(),MATCH($B1084&amp;$C1084,'Smelter Look-up'!$J:$J,0))</f>
        <v>#N/A</v>
      </c>
      <c r="X1084" s="170">
        <f t="shared" ca="1" si="83"/>
        <v>0</v>
      </c>
      <c r="AB1084" s="313" t="str">
        <f t="shared" si="85"/>
        <v/>
      </c>
      <c r="AC1084" s="170" t="str">
        <f t="shared" si="86"/>
        <v/>
      </c>
      <c r="AD1084" s="170" t="str">
        <f t="shared" si="87"/>
        <v/>
      </c>
    </row>
    <row r="1085" spans="1:30" s="170" customFormat="1" ht="20.399999999999999">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84"/>
        <v/>
      </c>
      <c r="T1085" s="155" t="str">
        <f ca="1">IF(B1085="","",IF(ISERROR(MATCH($J1085,SorP!$B$1:$B$6226,0)),"",INDIRECT("'SorP'!$A$"&amp;MATCH($S1085&amp;$J1085,SorP!C:C,0))))</f>
        <v/>
      </c>
      <c r="U1085" s="168"/>
      <c r="V1085" s="169" t="e">
        <f>IF(C1085="",NA(),MATCH($B1085&amp;$C1085,'Smelter Look-up'!$J:$J,0))</f>
        <v>#N/A</v>
      </c>
      <c r="X1085" s="170">
        <f t="shared" ca="1" si="83"/>
        <v>0</v>
      </c>
      <c r="AB1085" s="313" t="str">
        <f t="shared" si="85"/>
        <v/>
      </c>
      <c r="AC1085" s="170" t="str">
        <f t="shared" si="86"/>
        <v/>
      </c>
      <c r="AD1085" s="170" t="str">
        <f t="shared" si="87"/>
        <v/>
      </c>
    </row>
    <row r="1086" spans="1:30" s="170" customFormat="1" ht="20.399999999999999">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84"/>
        <v/>
      </c>
      <c r="T1086" s="155" t="str">
        <f ca="1">IF(B1086="","",IF(ISERROR(MATCH($J1086,SorP!$B$1:$B$6226,0)),"",INDIRECT("'SorP'!$A$"&amp;MATCH($S1086&amp;$J1086,SorP!C:C,0))))</f>
        <v/>
      </c>
      <c r="U1086" s="168"/>
      <c r="V1086" s="169" t="e">
        <f>IF(C1086="",NA(),MATCH($B1086&amp;$C1086,'Smelter Look-up'!$J:$J,0))</f>
        <v>#N/A</v>
      </c>
      <c r="X1086" s="170">
        <f t="shared" ca="1" si="83"/>
        <v>0</v>
      </c>
      <c r="AB1086" s="313" t="str">
        <f t="shared" si="85"/>
        <v/>
      </c>
      <c r="AC1086" s="170" t="str">
        <f t="shared" si="86"/>
        <v/>
      </c>
      <c r="AD1086" s="170" t="str">
        <f t="shared" si="87"/>
        <v/>
      </c>
    </row>
    <row r="1087" spans="1:30" s="170" customFormat="1" ht="20.399999999999999">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84"/>
        <v/>
      </c>
      <c r="T1087" s="155" t="str">
        <f ca="1">IF(B1087="","",IF(ISERROR(MATCH($J1087,SorP!$B$1:$B$6226,0)),"",INDIRECT("'SorP'!$A$"&amp;MATCH($S1087&amp;$J1087,SorP!C:C,0))))</f>
        <v/>
      </c>
      <c r="U1087" s="168"/>
      <c r="V1087" s="169" t="e">
        <f>IF(C1087="",NA(),MATCH($B1087&amp;$C1087,'Smelter Look-up'!$J:$J,0))</f>
        <v>#N/A</v>
      </c>
      <c r="X1087" s="170">
        <f t="shared" ref="X1087:X1150" ca="1" si="88">IF(AND(C1087="Smelter not listed",OR(LEN(D1087)=0,LEN(E1087)=0)),1,0)</f>
        <v>0</v>
      </c>
      <c r="AB1087" s="313" t="str">
        <f t="shared" si="85"/>
        <v/>
      </c>
      <c r="AC1087" s="170" t="str">
        <f t="shared" si="86"/>
        <v/>
      </c>
      <c r="AD1087" s="170" t="str">
        <f t="shared" si="87"/>
        <v/>
      </c>
    </row>
    <row r="1088" spans="1:30" s="170" customFormat="1" ht="20.399999999999999">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ref="S1088:S1151" ca="1" si="89">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88"/>
        <v>0</v>
      </c>
      <c r="AB1088" s="313" t="str">
        <f t="shared" si="85"/>
        <v/>
      </c>
      <c r="AC1088" s="170" t="str">
        <f t="shared" si="86"/>
        <v/>
      </c>
      <c r="AD1088" s="170" t="str">
        <f t="shared" si="87"/>
        <v/>
      </c>
    </row>
    <row r="1089" spans="1:30" s="170" customFormat="1" ht="20.399999999999999">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89"/>
        <v/>
      </c>
      <c r="T1089" s="155" t="str">
        <f ca="1">IF(B1089="","",IF(ISERROR(MATCH($J1089,SorP!$B$1:$B$6226,0)),"",INDIRECT("'SorP'!$A$"&amp;MATCH($S1089&amp;$J1089,SorP!C:C,0))))</f>
        <v/>
      </c>
      <c r="U1089" s="168"/>
      <c r="V1089" s="169" t="e">
        <f>IF(C1089="",NA(),MATCH($B1089&amp;$C1089,'Smelter Look-up'!$J:$J,0))</f>
        <v>#N/A</v>
      </c>
      <c r="X1089" s="170">
        <f t="shared" ca="1" si="88"/>
        <v>0</v>
      </c>
      <c r="AB1089" s="313" t="str">
        <f t="shared" si="85"/>
        <v/>
      </c>
      <c r="AC1089" s="170" t="str">
        <f t="shared" si="86"/>
        <v/>
      </c>
      <c r="AD1089" s="170" t="str">
        <f t="shared" si="87"/>
        <v/>
      </c>
    </row>
    <row r="1090" spans="1:30" s="170" customFormat="1" ht="20.399999999999999">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89"/>
        <v/>
      </c>
      <c r="T1090" s="155" t="str">
        <f ca="1">IF(B1090="","",IF(ISERROR(MATCH($J1090,SorP!$B$1:$B$6226,0)),"",INDIRECT("'SorP'!$A$"&amp;MATCH($S1090&amp;$J1090,SorP!C:C,0))))</f>
        <v/>
      </c>
      <c r="U1090" s="168"/>
      <c r="V1090" s="169" t="e">
        <f>IF(C1090="",NA(),MATCH($B1090&amp;$C1090,'Smelter Look-up'!$J:$J,0))</f>
        <v>#N/A</v>
      </c>
      <c r="X1090" s="170">
        <f t="shared" ca="1" si="88"/>
        <v>0</v>
      </c>
      <c r="AB1090" s="313" t="str">
        <f t="shared" si="85"/>
        <v/>
      </c>
      <c r="AC1090" s="170" t="str">
        <f t="shared" si="86"/>
        <v/>
      </c>
      <c r="AD1090" s="170" t="str">
        <f t="shared" si="87"/>
        <v/>
      </c>
    </row>
    <row r="1091" spans="1:30" s="170" customFormat="1" ht="20.399999999999999">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89"/>
        <v/>
      </c>
      <c r="T1091" s="155" t="str">
        <f ca="1">IF(B1091="","",IF(ISERROR(MATCH($J1091,SorP!$B$1:$B$6226,0)),"",INDIRECT("'SorP'!$A$"&amp;MATCH($S1091&amp;$J1091,SorP!C:C,0))))</f>
        <v/>
      </c>
      <c r="U1091" s="168"/>
      <c r="V1091" s="169" t="e">
        <f>IF(C1091="",NA(),MATCH($B1091&amp;$C1091,'Smelter Look-up'!$J:$J,0))</f>
        <v>#N/A</v>
      </c>
      <c r="X1091" s="170">
        <f t="shared" ca="1" si="88"/>
        <v>0</v>
      </c>
      <c r="AB1091" s="313" t="str">
        <f t="shared" si="85"/>
        <v/>
      </c>
      <c r="AC1091" s="170" t="str">
        <f t="shared" si="86"/>
        <v/>
      </c>
      <c r="AD1091" s="170" t="str">
        <f t="shared" si="87"/>
        <v/>
      </c>
    </row>
    <row r="1092" spans="1:30" s="170" customFormat="1" ht="20.399999999999999">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89"/>
        <v/>
      </c>
      <c r="T1092" s="155" t="str">
        <f ca="1">IF(B1092="","",IF(ISERROR(MATCH($J1092,SorP!$B$1:$B$6226,0)),"",INDIRECT("'SorP'!$A$"&amp;MATCH($S1092&amp;$J1092,SorP!C:C,0))))</f>
        <v/>
      </c>
      <c r="U1092" s="168"/>
      <c r="V1092" s="169" t="e">
        <f>IF(C1092="",NA(),MATCH($B1092&amp;$C1092,'Smelter Look-up'!$J:$J,0))</f>
        <v>#N/A</v>
      </c>
      <c r="X1092" s="170">
        <f t="shared" ca="1" si="88"/>
        <v>0</v>
      </c>
      <c r="AB1092" s="313" t="str">
        <f t="shared" si="85"/>
        <v/>
      </c>
      <c r="AC1092" s="170" t="str">
        <f t="shared" si="86"/>
        <v/>
      </c>
      <c r="AD1092" s="170" t="str">
        <f t="shared" si="87"/>
        <v/>
      </c>
    </row>
    <row r="1093" spans="1:30" s="170" customFormat="1" ht="20.399999999999999">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89"/>
        <v/>
      </c>
      <c r="T1093" s="155" t="str">
        <f ca="1">IF(B1093="","",IF(ISERROR(MATCH($J1093,SorP!$B$1:$B$6226,0)),"",INDIRECT("'SorP'!$A$"&amp;MATCH($S1093&amp;$J1093,SorP!C:C,0))))</f>
        <v/>
      </c>
      <c r="U1093" s="168"/>
      <c r="V1093" s="169" t="e">
        <f>IF(C1093="",NA(),MATCH($B1093&amp;$C1093,'Smelter Look-up'!$J:$J,0))</f>
        <v>#N/A</v>
      </c>
      <c r="X1093" s="170">
        <f t="shared" ca="1" si="88"/>
        <v>0</v>
      </c>
      <c r="AB1093" s="313" t="str">
        <f t="shared" si="85"/>
        <v/>
      </c>
      <c r="AC1093" s="170" t="str">
        <f t="shared" si="86"/>
        <v/>
      </c>
      <c r="AD1093" s="170" t="str">
        <f t="shared" si="87"/>
        <v/>
      </c>
    </row>
    <row r="1094" spans="1:30" s="170" customFormat="1" ht="20.399999999999999">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89"/>
        <v/>
      </c>
      <c r="T1094" s="155" t="str">
        <f ca="1">IF(B1094="","",IF(ISERROR(MATCH($J1094,SorP!$B$1:$B$6226,0)),"",INDIRECT("'SorP'!$A$"&amp;MATCH($S1094&amp;$J1094,SorP!C:C,0))))</f>
        <v/>
      </c>
      <c r="U1094" s="168"/>
      <c r="V1094" s="169" t="e">
        <f>IF(C1094="",NA(),MATCH($B1094&amp;$C1094,'Smelter Look-up'!$J:$J,0))</f>
        <v>#N/A</v>
      </c>
      <c r="X1094" s="170">
        <f t="shared" ca="1" si="88"/>
        <v>0</v>
      </c>
      <c r="AB1094" s="313" t="str">
        <f t="shared" ref="AB1094:AB1157" si="90">IF(C1094="","",B1094)</f>
        <v/>
      </c>
      <c r="AC1094" s="170" t="str">
        <f t="shared" ref="AC1094:AC1157" si="91">B1094</f>
        <v/>
      </c>
      <c r="AD1094" s="170" t="str">
        <f t="shared" ref="AD1094:AD1157" si="92">IF(C1094="Smelter not listed",D1094,C1094)</f>
        <v/>
      </c>
    </row>
    <row r="1095" spans="1:30" s="170" customFormat="1" ht="20.399999999999999">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89"/>
        <v/>
      </c>
      <c r="T1095" s="155" t="str">
        <f ca="1">IF(B1095="","",IF(ISERROR(MATCH($J1095,SorP!$B$1:$B$6226,0)),"",INDIRECT("'SorP'!$A$"&amp;MATCH($S1095&amp;$J1095,SorP!C:C,0))))</f>
        <v/>
      </c>
      <c r="U1095" s="168"/>
      <c r="V1095" s="169" t="e">
        <f>IF(C1095="",NA(),MATCH($B1095&amp;$C1095,'Smelter Look-up'!$J:$J,0))</f>
        <v>#N/A</v>
      </c>
      <c r="X1095" s="170">
        <f t="shared" ca="1" si="88"/>
        <v>0</v>
      </c>
      <c r="AB1095" s="313" t="str">
        <f t="shared" si="90"/>
        <v/>
      </c>
      <c r="AC1095" s="170" t="str">
        <f t="shared" si="91"/>
        <v/>
      </c>
      <c r="AD1095" s="170" t="str">
        <f t="shared" si="92"/>
        <v/>
      </c>
    </row>
    <row r="1096" spans="1:30" s="170" customFormat="1" ht="20.399999999999999">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89"/>
        <v/>
      </c>
      <c r="T1096" s="155" t="str">
        <f ca="1">IF(B1096="","",IF(ISERROR(MATCH($J1096,SorP!$B$1:$B$6226,0)),"",INDIRECT("'SorP'!$A$"&amp;MATCH($S1096&amp;$J1096,SorP!C:C,0))))</f>
        <v/>
      </c>
      <c r="U1096" s="168"/>
      <c r="V1096" s="169" t="e">
        <f>IF(C1096="",NA(),MATCH($B1096&amp;$C1096,'Smelter Look-up'!$J:$J,0))</f>
        <v>#N/A</v>
      </c>
      <c r="X1096" s="170">
        <f t="shared" ca="1" si="88"/>
        <v>0</v>
      </c>
      <c r="AB1096" s="313" t="str">
        <f t="shared" si="90"/>
        <v/>
      </c>
      <c r="AC1096" s="170" t="str">
        <f t="shared" si="91"/>
        <v/>
      </c>
      <c r="AD1096" s="170" t="str">
        <f t="shared" si="92"/>
        <v/>
      </c>
    </row>
    <row r="1097" spans="1:30" s="170" customFormat="1" ht="20.399999999999999">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89"/>
        <v/>
      </c>
      <c r="T1097" s="155" t="str">
        <f ca="1">IF(B1097="","",IF(ISERROR(MATCH($J1097,SorP!$B$1:$B$6226,0)),"",INDIRECT("'SorP'!$A$"&amp;MATCH($S1097&amp;$J1097,SorP!C:C,0))))</f>
        <v/>
      </c>
      <c r="U1097" s="168"/>
      <c r="V1097" s="169" t="e">
        <f>IF(C1097="",NA(),MATCH($B1097&amp;$C1097,'Smelter Look-up'!$J:$J,0))</f>
        <v>#N/A</v>
      </c>
      <c r="X1097" s="170">
        <f t="shared" ca="1" si="88"/>
        <v>0</v>
      </c>
      <c r="AB1097" s="313" t="str">
        <f t="shared" si="90"/>
        <v/>
      </c>
      <c r="AC1097" s="170" t="str">
        <f t="shared" si="91"/>
        <v/>
      </c>
      <c r="AD1097" s="170" t="str">
        <f t="shared" si="92"/>
        <v/>
      </c>
    </row>
    <row r="1098" spans="1:30" s="170" customFormat="1" ht="20.399999999999999">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89"/>
        <v/>
      </c>
      <c r="T1098" s="155" t="str">
        <f ca="1">IF(B1098="","",IF(ISERROR(MATCH($J1098,SorP!$B$1:$B$6226,0)),"",INDIRECT("'SorP'!$A$"&amp;MATCH($S1098&amp;$J1098,SorP!C:C,0))))</f>
        <v/>
      </c>
      <c r="U1098" s="168"/>
      <c r="V1098" s="169" t="e">
        <f>IF(C1098="",NA(),MATCH($B1098&amp;$C1098,'Smelter Look-up'!$J:$J,0))</f>
        <v>#N/A</v>
      </c>
      <c r="X1098" s="170">
        <f t="shared" ca="1" si="88"/>
        <v>0</v>
      </c>
      <c r="AB1098" s="313" t="str">
        <f t="shared" si="90"/>
        <v/>
      </c>
      <c r="AC1098" s="170" t="str">
        <f t="shared" si="91"/>
        <v/>
      </c>
      <c r="AD1098" s="170" t="str">
        <f t="shared" si="92"/>
        <v/>
      </c>
    </row>
    <row r="1099" spans="1:30" s="170" customFormat="1" ht="20.399999999999999">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89"/>
        <v/>
      </c>
      <c r="T1099" s="155" t="str">
        <f ca="1">IF(B1099="","",IF(ISERROR(MATCH($J1099,SorP!$B$1:$B$6226,0)),"",INDIRECT("'SorP'!$A$"&amp;MATCH($S1099&amp;$J1099,SorP!C:C,0))))</f>
        <v/>
      </c>
      <c r="U1099" s="168"/>
      <c r="V1099" s="169" t="e">
        <f>IF(C1099="",NA(),MATCH($B1099&amp;$C1099,'Smelter Look-up'!$J:$J,0))</f>
        <v>#N/A</v>
      </c>
      <c r="X1099" s="170">
        <f t="shared" ca="1" si="88"/>
        <v>0</v>
      </c>
      <c r="AB1099" s="313" t="str">
        <f t="shared" si="90"/>
        <v/>
      </c>
      <c r="AC1099" s="170" t="str">
        <f t="shared" si="91"/>
        <v/>
      </c>
      <c r="AD1099" s="170" t="str">
        <f t="shared" si="92"/>
        <v/>
      </c>
    </row>
    <row r="1100" spans="1:30" s="170" customFormat="1" ht="20.399999999999999">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89"/>
        <v/>
      </c>
      <c r="T1100" s="155" t="str">
        <f ca="1">IF(B1100="","",IF(ISERROR(MATCH($J1100,SorP!$B$1:$B$6226,0)),"",INDIRECT("'SorP'!$A$"&amp;MATCH($S1100&amp;$J1100,SorP!C:C,0))))</f>
        <v/>
      </c>
      <c r="U1100" s="168"/>
      <c r="V1100" s="169" t="e">
        <f>IF(C1100="",NA(),MATCH($B1100&amp;$C1100,'Smelter Look-up'!$J:$J,0))</f>
        <v>#N/A</v>
      </c>
      <c r="X1100" s="170">
        <f t="shared" ca="1" si="88"/>
        <v>0</v>
      </c>
      <c r="AB1100" s="313" t="str">
        <f t="shared" si="90"/>
        <v/>
      </c>
      <c r="AC1100" s="170" t="str">
        <f t="shared" si="91"/>
        <v/>
      </c>
      <c r="AD1100" s="170" t="str">
        <f t="shared" si="92"/>
        <v/>
      </c>
    </row>
    <row r="1101" spans="1:30" s="170" customFormat="1" ht="20.399999999999999">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89"/>
        <v/>
      </c>
      <c r="T1101" s="155" t="str">
        <f ca="1">IF(B1101="","",IF(ISERROR(MATCH($J1101,SorP!$B$1:$B$6226,0)),"",INDIRECT("'SorP'!$A$"&amp;MATCH($S1101&amp;$J1101,SorP!C:C,0))))</f>
        <v/>
      </c>
      <c r="U1101" s="168"/>
      <c r="V1101" s="169" t="e">
        <f>IF(C1101="",NA(),MATCH($B1101&amp;$C1101,'Smelter Look-up'!$J:$J,0))</f>
        <v>#N/A</v>
      </c>
      <c r="X1101" s="170">
        <f t="shared" ca="1" si="88"/>
        <v>0</v>
      </c>
      <c r="AB1101" s="313" t="str">
        <f t="shared" si="90"/>
        <v/>
      </c>
      <c r="AC1101" s="170" t="str">
        <f t="shared" si="91"/>
        <v/>
      </c>
      <c r="AD1101" s="170" t="str">
        <f t="shared" si="92"/>
        <v/>
      </c>
    </row>
    <row r="1102" spans="1:30" s="170" customFormat="1" ht="20.399999999999999">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89"/>
        <v/>
      </c>
      <c r="T1102" s="155" t="str">
        <f ca="1">IF(B1102="","",IF(ISERROR(MATCH($J1102,SorP!$B$1:$B$6226,0)),"",INDIRECT("'SorP'!$A$"&amp;MATCH($S1102&amp;$J1102,SorP!C:C,0))))</f>
        <v/>
      </c>
      <c r="U1102" s="168"/>
      <c r="V1102" s="169" t="e">
        <f>IF(C1102="",NA(),MATCH($B1102&amp;$C1102,'Smelter Look-up'!$J:$J,0))</f>
        <v>#N/A</v>
      </c>
      <c r="X1102" s="170">
        <f t="shared" ca="1" si="88"/>
        <v>0</v>
      </c>
      <c r="AB1102" s="313" t="str">
        <f t="shared" si="90"/>
        <v/>
      </c>
      <c r="AC1102" s="170" t="str">
        <f t="shared" si="91"/>
        <v/>
      </c>
      <c r="AD1102" s="170" t="str">
        <f t="shared" si="92"/>
        <v/>
      </c>
    </row>
    <row r="1103" spans="1:30" s="170" customFormat="1" ht="20.399999999999999">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89"/>
        <v/>
      </c>
      <c r="T1103" s="155" t="str">
        <f ca="1">IF(B1103="","",IF(ISERROR(MATCH($J1103,SorP!$B$1:$B$6226,0)),"",INDIRECT("'SorP'!$A$"&amp;MATCH($S1103&amp;$J1103,SorP!C:C,0))))</f>
        <v/>
      </c>
      <c r="U1103" s="168"/>
      <c r="V1103" s="169" t="e">
        <f>IF(C1103="",NA(),MATCH($B1103&amp;$C1103,'Smelter Look-up'!$J:$J,0))</f>
        <v>#N/A</v>
      </c>
      <c r="X1103" s="170">
        <f t="shared" ca="1" si="88"/>
        <v>0</v>
      </c>
      <c r="AB1103" s="313" t="str">
        <f t="shared" si="90"/>
        <v/>
      </c>
      <c r="AC1103" s="170" t="str">
        <f t="shared" si="91"/>
        <v/>
      </c>
      <c r="AD1103" s="170" t="str">
        <f t="shared" si="92"/>
        <v/>
      </c>
    </row>
    <row r="1104" spans="1:30" s="170" customFormat="1" ht="20.399999999999999">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89"/>
        <v/>
      </c>
      <c r="T1104" s="155" t="str">
        <f ca="1">IF(B1104="","",IF(ISERROR(MATCH($J1104,SorP!$B$1:$B$6226,0)),"",INDIRECT("'SorP'!$A$"&amp;MATCH($S1104&amp;$J1104,SorP!C:C,0))))</f>
        <v/>
      </c>
      <c r="U1104" s="168"/>
      <c r="V1104" s="169" t="e">
        <f>IF(C1104="",NA(),MATCH($B1104&amp;$C1104,'Smelter Look-up'!$J:$J,0))</f>
        <v>#N/A</v>
      </c>
      <c r="X1104" s="170">
        <f t="shared" ca="1" si="88"/>
        <v>0</v>
      </c>
      <c r="AB1104" s="313" t="str">
        <f t="shared" si="90"/>
        <v/>
      </c>
      <c r="AC1104" s="170" t="str">
        <f t="shared" si="91"/>
        <v/>
      </c>
      <c r="AD1104" s="170" t="str">
        <f t="shared" si="92"/>
        <v/>
      </c>
    </row>
    <row r="1105" spans="1:30" s="170" customFormat="1" ht="20.399999999999999">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89"/>
        <v/>
      </c>
      <c r="T1105" s="155" t="str">
        <f ca="1">IF(B1105="","",IF(ISERROR(MATCH($J1105,SorP!$B$1:$B$6226,0)),"",INDIRECT("'SorP'!$A$"&amp;MATCH($S1105&amp;$J1105,SorP!C:C,0))))</f>
        <v/>
      </c>
      <c r="U1105" s="168"/>
      <c r="V1105" s="169" t="e">
        <f>IF(C1105="",NA(),MATCH($B1105&amp;$C1105,'Smelter Look-up'!$J:$J,0))</f>
        <v>#N/A</v>
      </c>
      <c r="X1105" s="170">
        <f t="shared" ca="1" si="88"/>
        <v>0</v>
      </c>
      <c r="AB1105" s="313" t="str">
        <f t="shared" si="90"/>
        <v/>
      </c>
      <c r="AC1105" s="170" t="str">
        <f t="shared" si="91"/>
        <v/>
      </c>
      <c r="AD1105" s="170" t="str">
        <f t="shared" si="92"/>
        <v/>
      </c>
    </row>
    <row r="1106" spans="1:30" s="170" customFormat="1" ht="20.399999999999999">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89"/>
        <v/>
      </c>
      <c r="T1106" s="155" t="str">
        <f ca="1">IF(B1106="","",IF(ISERROR(MATCH($J1106,SorP!$B$1:$B$6226,0)),"",INDIRECT("'SorP'!$A$"&amp;MATCH($S1106&amp;$J1106,SorP!C:C,0))))</f>
        <v/>
      </c>
      <c r="U1106" s="168"/>
      <c r="V1106" s="169" t="e">
        <f>IF(C1106="",NA(),MATCH($B1106&amp;$C1106,'Smelter Look-up'!$J:$J,0))</f>
        <v>#N/A</v>
      </c>
      <c r="X1106" s="170">
        <f t="shared" ca="1" si="88"/>
        <v>0</v>
      </c>
      <c r="AB1106" s="313" t="str">
        <f t="shared" si="90"/>
        <v/>
      </c>
      <c r="AC1106" s="170" t="str">
        <f t="shared" si="91"/>
        <v/>
      </c>
      <c r="AD1106" s="170" t="str">
        <f t="shared" si="92"/>
        <v/>
      </c>
    </row>
    <row r="1107" spans="1:30" s="170" customFormat="1" ht="20.399999999999999">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89"/>
        <v/>
      </c>
      <c r="T1107" s="155" t="str">
        <f ca="1">IF(B1107="","",IF(ISERROR(MATCH($J1107,SorP!$B$1:$B$6226,0)),"",INDIRECT("'SorP'!$A$"&amp;MATCH($S1107&amp;$J1107,SorP!C:C,0))))</f>
        <v/>
      </c>
      <c r="U1107" s="168"/>
      <c r="V1107" s="169" t="e">
        <f>IF(C1107="",NA(),MATCH($B1107&amp;$C1107,'Smelter Look-up'!$J:$J,0))</f>
        <v>#N/A</v>
      </c>
      <c r="X1107" s="170">
        <f t="shared" ca="1" si="88"/>
        <v>0</v>
      </c>
      <c r="AB1107" s="313" t="str">
        <f t="shared" si="90"/>
        <v/>
      </c>
      <c r="AC1107" s="170" t="str">
        <f t="shared" si="91"/>
        <v/>
      </c>
      <c r="AD1107" s="170" t="str">
        <f t="shared" si="92"/>
        <v/>
      </c>
    </row>
    <row r="1108" spans="1:30" s="170" customFormat="1" ht="20.399999999999999">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89"/>
        <v/>
      </c>
      <c r="T1108" s="155" t="str">
        <f ca="1">IF(B1108="","",IF(ISERROR(MATCH($J1108,SorP!$B$1:$B$6226,0)),"",INDIRECT("'SorP'!$A$"&amp;MATCH($S1108&amp;$J1108,SorP!C:C,0))))</f>
        <v/>
      </c>
      <c r="U1108" s="168"/>
      <c r="V1108" s="169" t="e">
        <f>IF(C1108="",NA(),MATCH($B1108&amp;$C1108,'Smelter Look-up'!$J:$J,0))</f>
        <v>#N/A</v>
      </c>
      <c r="X1108" s="170">
        <f t="shared" ca="1" si="88"/>
        <v>0</v>
      </c>
      <c r="AB1108" s="313" t="str">
        <f t="shared" si="90"/>
        <v/>
      </c>
      <c r="AC1108" s="170" t="str">
        <f t="shared" si="91"/>
        <v/>
      </c>
      <c r="AD1108" s="170" t="str">
        <f t="shared" si="92"/>
        <v/>
      </c>
    </row>
    <row r="1109" spans="1:30" s="170" customFormat="1" ht="20.399999999999999">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89"/>
        <v/>
      </c>
      <c r="T1109" s="155" t="str">
        <f ca="1">IF(B1109="","",IF(ISERROR(MATCH($J1109,SorP!$B$1:$B$6226,0)),"",INDIRECT("'SorP'!$A$"&amp;MATCH($S1109&amp;$J1109,SorP!C:C,0))))</f>
        <v/>
      </c>
      <c r="U1109" s="168"/>
      <c r="V1109" s="169" t="e">
        <f>IF(C1109="",NA(),MATCH($B1109&amp;$C1109,'Smelter Look-up'!$J:$J,0))</f>
        <v>#N/A</v>
      </c>
      <c r="X1109" s="170">
        <f t="shared" ca="1" si="88"/>
        <v>0</v>
      </c>
      <c r="AB1109" s="313" t="str">
        <f t="shared" si="90"/>
        <v/>
      </c>
      <c r="AC1109" s="170" t="str">
        <f t="shared" si="91"/>
        <v/>
      </c>
      <c r="AD1109" s="170" t="str">
        <f t="shared" si="92"/>
        <v/>
      </c>
    </row>
    <row r="1110" spans="1:30" s="170" customFormat="1" ht="20.399999999999999">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89"/>
        <v/>
      </c>
      <c r="T1110" s="155" t="str">
        <f ca="1">IF(B1110="","",IF(ISERROR(MATCH($J1110,SorP!$B$1:$B$6226,0)),"",INDIRECT("'SorP'!$A$"&amp;MATCH($S1110&amp;$J1110,SorP!C:C,0))))</f>
        <v/>
      </c>
      <c r="U1110" s="168"/>
      <c r="V1110" s="169" t="e">
        <f>IF(C1110="",NA(),MATCH($B1110&amp;$C1110,'Smelter Look-up'!$J:$J,0))</f>
        <v>#N/A</v>
      </c>
      <c r="X1110" s="170">
        <f t="shared" ca="1" si="88"/>
        <v>0</v>
      </c>
      <c r="AB1110" s="313" t="str">
        <f t="shared" si="90"/>
        <v/>
      </c>
      <c r="AC1110" s="170" t="str">
        <f t="shared" si="91"/>
        <v/>
      </c>
      <c r="AD1110" s="170" t="str">
        <f t="shared" si="92"/>
        <v/>
      </c>
    </row>
    <row r="1111" spans="1:30" s="170" customFormat="1" ht="20.399999999999999">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89"/>
        <v/>
      </c>
      <c r="T1111" s="155" t="str">
        <f ca="1">IF(B1111="","",IF(ISERROR(MATCH($J1111,SorP!$B$1:$B$6226,0)),"",INDIRECT("'SorP'!$A$"&amp;MATCH($S1111&amp;$J1111,SorP!C:C,0))))</f>
        <v/>
      </c>
      <c r="U1111" s="168"/>
      <c r="V1111" s="169" t="e">
        <f>IF(C1111="",NA(),MATCH($B1111&amp;$C1111,'Smelter Look-up'!$J:$J,0))</f>
        <v>#N/A</v>
      </c>
      <c r="X1111" s="170">
        <f t="shared" ca="1" si="88"/>
        <v>0</v>
      </c>
      <c r="AB1111" s="313" t="str">
        <f t="shared" si="90"/>
        <v/>
      </c>
      <c r="AC1111" s="170" t="str">
        <f t="shared" si="91"/>
        <v/>
      </c>
      <c r="AD1111" s="170" t="str">
        <f t="shared" si="92"/>
        <v/>
      </c>
    </row>
    <row r="1112" spans="1:30" s="170" customFormat="1" ht="20.399999999999999">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89"/>
        <v/>
      </c>
      <c r="T1112" s="155" t="str">
        <f ca="1">IF(B1112="","",IF(ISERROR(MATCH($J1112,SorP!$B$1:$B$6226,0)),"",INDIRECT("'SorP'!$A$"&amp;MATCH($S1112&amp;$J1112,SorP!C:C,0))))</f>
        <v/>
      </c>
      <c r="U1112" s="168"/>
      <c r="V1112" s="169" t="e">
        <f>IF(C1112="",NA(),MATCH($B1112&amp;$C1112,'Smelter Look-up'!$J:$J,0))</f>
        <v>#N/A</v>
      </c>
      <c r="X1112" s="170">
        <f t="shared" ca="1" si="88"/>
        <v>0</v>
      </c>
      <c r="AB1112" s="313" t="str">
        <f t="shared" si="90"/>
        <v/>
      </c>
      <c r="AC1112" s="170" t="str">
        <f t="shared" si="91"/>
        <v/>
      </c>
      <c r="AD1112" s="170" t="str">
        <f t="shared" si="92"/>
        <v/>
      </c>
    </row>
    <row r="1113" spans="1:30" s="170" customFormat="1" ht="20.399999999999999">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89"/>
        <v/>
      </c>
      <c r="T1113" s="155" t="str">
        <f ca="1">IF(B1113="","",IF(ISERROR(MATCH($J1113,SorP!$B$1:$B$6226,0)),"",INDIRECT("'SorP'!$A$"&amp;MATCH($S1113&amp;$J1113,SorP!C:C,0))))</f>
        <v/>
      </c>
      <c r="U1113" s="168"/>
      <c r="V1113" s="169" t="e">
        <f>IF(C1113="",NA(),MATCH($B1113&amp;$C1113,'Smelter Look-up'!$J:$J,0))</f>
        <v>#N/A</v>
      </c>
      <c r="X1113" s="170">
        <f t="shared" ca="1" si="88"/>
        <v>0</v>
      </c>
      <c r="AB1113" s="313" t="str">
        <f t="shared" si="90"/>
        <v/>
      </c>
      <c r="AC1113" s="170" t="str">
        <f t="shared" si="91"/>
        <v/>
      </c>
      <c r="AD1113" s="170" t="str">
        <f t="shared" si="92"/>
        <v/>
      </c>
    </row>
    <row r="1114" spans="1:30" s="170" customFormat="1" ht="20.399999999999999">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89"/>
        <v/>
      </c>
      <c r="T1114" s="155" t="str">
        <f ca="1">IF(B1114="","",IF(ISERROR(MATCH($J1114,SorP!$B$1:$B$6226,0)),"",INDIRECT("'SorP'!$A$"&amp;MATCH($S1114&amp;$J1114,SorP!C:C,0))))</f>
        <v/>
      </c>
      <c r="U1114" s="168"/>
      <c r="V1114" s="169" t="e">
        <f>IF(C1114="",NA(),MATCH($B1114&amp;$C1114,'Smelter Look-up'!$J:$J,0))</f>
        <v>#N/A</v>
      </c>
      <c r="X1114" s="170">
        <f t="shared" ca="1" si="88"/>
        <v>0</v>
      </c>
      <c r="AB1114" s="313" t="str">
        <f t="shared" si="90"/>
        <v/>
      </c>
      <c r="AC1114" s="170" t="str">
        <f t="shared" si="91"/>
        <v/>
      </c>
      <c r="AD1114" s="170" t="str">
        <f t="shared" si="92"/>
        <v/>
      </c>
    </row>
    <row r="1115" spans="1:30" s="170" customFormat="1" ht="20.399999999999999">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89"/>
        <v/>
      </c>
      <c r="T1115" s="155" t="str">
        <f ca="1">IF(B1115="","",IF(ISERROR(MATCH($J1115,SorP!$B$1:$B$6226,0)),"",INDIRECT("'SorP'!$A$"&amp;MATCH($S1115&amp;$J1115,SorP!C:C,0))))</f>
        <v/>
      </c>
      <c r="U1115" s="168"/>
      <c r="V1115" s="169" t="e">
        <f>IF(C1115="",NA(),MATCH($B1115&amp;$C1115,'Smelter Look-up'!$J:$J,0))</f>
        <v>#N/A</v>
      </c>
      <c r="X1115" s="170">
        <f t="shared" ca="1" si="88"/>
        <v>0</v>
      </c>
      <c r="AB1115" s="313" t="str">
        <f t="shared" si="90"/>
        <v/>
      </c>
      <c r="AC1115" s="170" t="str">
        <f t="shared" si="91"/>
        <v/>
      </c>
      <c r="AD1115" s="170" t="str">
        <f t="shared" si="92"/>
        <v/>
      </c>
    </row>
    <row r="1116" spans="1:30" s="170" customFormat="1" ht="20.399999999999999">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89"/>
        <v/>
      </c>
      <c r="T1116" s="155" t="str">
        <f ca="1">IF(B1116="","",IF(ISERROR(MATCH($J1116,SorP!$B$1:$B$6226,0)),"",INDIRECT("'SorP'!$A$"&amp;MATCH($S1116&amp;$J1116,SorP!C:C,0))))</f>
        <v/>
      </c>
      <c r="U1116" s="168"/>
      <c r="V1116" s="169" t="e">
        <f>IF(C1116="",NA(),MATCH($B1116&amp;$C1116,'Smelter Look-up'!$J:$J,0))</f>
        <v>#N/A</v>
      </c>
      <c r="X1116" s="170">
        <f t="shared" ca="1" si="88"/>
        <v>0</v>
      </c>
      <c r="AB1116" s="313" t="str">
        <f t="shared" si="90"/>
        <v/>
      </c>
      <c r="AC1116" s="170" t="str">
        <f t="shared" si="91"/>
        <v/>
      </c>
      <c r="AD1116" s="170" t="str">
        <f t="shared" si="92"/>
        <v/>
      </c>
    </row>
    <row r="1117" spans="1:30" s="170" customFormat="1" ht="20.399999999999999">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89"/>
        <v/>
      </c>
      <c r="T1117" s="155" t="str">
        <f ca="1">IF(B1117="","",IF(ISERROR(MATCH($J1117,SorP!$B$1:$B$6226,0)),"",INDIRECT("'SorP'!$A$"&amp;MATCH($S1117&amp;$J1117,SorP!C:C,0))))</f>
        <v/>
      </c>
      <c r="U1117" s="168"/>
      <c r="V1117" s="169" t="e">
        <f>IF(C1117="",NA(),MATCH($B1117&amp;$C1117,'Smelter Look-up'!$J:$J,0))</f>
        <v>#N/A</v>
      </c>
      <c r="X1117" s="170">
        <f t="shared" ca="1" si="88"/>
        <v>0</v>
      </c>
      <c r="AB1117" s="313" t="str">
        <f t="shared" si="90"/>
        <v/>
      </c>
      <c r="AC1117" s="170" t="str">
        <f t="shared" si="91"/>
        <v/>
      </c>
      <c r="AD1117" s="170" t="str">
        <f t="shared" si="92"/>
        <v/>
      </c>
    </row>
    <row r="1118" spans="1:30" s="170" customFormat="1" ht="20.399999999999999">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89"/>
        <v/>
      </c>
      <c r="T1118" s="155" t="str">
        <f ca="1">IF(B1118="","",IF(ISERROR(MATCH($J1118,SorP!$B$1:$B$6226,0)),"",INDIRECT("'SorP'!$A$"&amp;MATCH($S1118&amp;$J1118,SorP!C:C,0))))</f>
        <v/>
      </c>
      <c r="U1118" s="168"/>
      <c r="V1118" s="169" t="e">
        <f>IF(C1118="",NA(),MATCH($B1118&amp;$C1118,'Smelter Look-up'!$J:$J,0))</f>
        <v>#N/A</v>
      </c>
      <c r="X1118" s="170">
        <f t="shared" ca="1" si="88"/>
        <v>0</v>
      </c>
      <c r="AB1118" s="313" t="str">
        <f t="shared" si="90"/>
        <v/>
      </c>
      <c r="AC1118" s="170" t="str">
        <f t="shared" si="91"/>
        <v/>
      </c>
      <c r="AD1118" s="170" t="str">
        <f t="shared" si="92"/>
        <v/>
      </c>
    </row>
    <row r="1119" spans="1:30" s="170" customFormat="1" ht="20.399999999999999">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89"/>
        <v/>
      </c>
      <c r="T1119" s="155" t="str">
        <f ca="1">IF(B1119="","",IF(ISERROR(MATCH($J1119,SorP!$B$1:$B$6226,0)),"",INDIRECT("'SorP'!$A$"&amp;MATCH($S1119&amp;$J1119,SorP!C:C,0))))</f>
        <v/>
      </c>
      <c r="U1119" s="168"/>
      <c r="V1119" s="169" t="e">
        <f>IF(C1119="",NA(),MATCH($B1119&amp;$C1119,'Smelter Look-up'!$J:$J,0))</f>
        <v>#N/A</v>
      </c>
      <c r="X1119" s="170">
        <f t="shared" ca="1" si="88"/>
        <v>0</v>
      </c>
      <c r="AB1119" s="313" t="str">
        <f t="shared" si="90"/>
        <v/>
      </c>
      <c r="AC1119" s="170" t="str">
        <f t="shared" si="91"/>
        <v/>
      </c>
      <c r="AD1119" s="170" t="str">
        <f t="shared" si="92"/>
        <v/>
      </c>
    </row>
    <row r="1120" spans="1:30" s="170" customFormat="1" ht="20.399999999999999">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89"/>
        <v/>
      </c>
      <c r="T1120" s="155" t="str">
        <f ca="1">IF(B1120="","",IF(ISERROR(MATCH($J1120,SorP!$B$1:$B$6226,0)),"",INDIRECT("'SorP'!$A$"&amp;MATCH($S1120&amp;$J1120,SorP!C:C,0))))</f>
        <v/>
      </c>
      <c r="U1120" s="168"/>
      <c r="V1120" s="169" t="e">
        <f>IF(C1120="",NA(),MATCH($B1120&amp;$C1120,'Smelter Look-up'!$J:$J,0))</f>
        <v>#N/A</v>
      </c>
      <c r="X1120" s="170">
        <f t="shared" ca="1" si="88"/>
        <v>0</v>
      </c>
      <c r="AB1120" s="313" t="str">
        <f t="shared" si="90"/>
        <v/>
      </c>
      <c r="AC1120" s="170" t="str">
        <f t="shared" si="91"/>
        <v/>
      </c>
      <c r="AD1120" s="170" t="str">
        <f t="shared" si="92"/>
        <v/>
      </c>
    </row>
    <row r="1121" spans="1:30" s="170" customFormat="1" ht="20.399999999999999">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89"/>
        <v/>
      </c>
      <c r="T1121" s="155" t="str">
        <f ca="1">IF(B1121="","",IF(ISERROR(MATCH($J1121,SorP!$B$1:$B$6226,0)),"",INDIRECT("'SorP'!$A$"&amp;MATCH($S1121&amp;$J1121,SorP!C:C,0))))</f>
        <v/>
      </c>
      <c r="U1121" s="168"/>
      <c r="V1121" s="169" t="e">
        <f>IF(C1121="",NA(),MATCH($B1121&amp;$C1121,'Smelter Look-up'!$J:$J,0))</f>
        <v>#N/A</v>
      </c>
      <c r="X1121" s="170">
        <f t="shared" ca="1" si="88"/>
        <v>0</v>
      </c>
      <c r="AB1121" s="313" t="str">
        <f t="shared" si="90"/>
        <v/>
      </c>
      <c r="AC1121" s="170" t="str">
        <f t="shared" si="91"/>
        <v/>
      </c>
      <c r="AD1121" s="170" t="str">
        <f t="shared" si="92"/>
        <v/>
      </c>
    </row>
    <row r="1122" spans="1:30" s="170" customFormat="1" ht="20.399999999999999">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89"/>
        <v/>
      </c>
      <c r="T1122" s="155" t="str">
        <f ca="1">IF(B1122="","",IF(ISERROR(MATCH($J1122,SorP!$B$1:$B$6226,0)),"",INDIRECT("'SorP'!$A$"&amp;MATCH($S1122&amp;$J1122,SorP!C:C,0))))</f>
        <v/>
      </c>
      <c r="U1122" s="168"/>
      <c r="V1122" s="169" t="e">
        <f>IF(C1122="",NA(),MATCH($B1122&amp;$C1122,'Smelter Look-up'!$J:$J,0))</f>
        <v>#N/A</v>
      </c>
      <c r="X1122" s="170">
        <f t="shared" ca="1" si="88"/>
        <v>0</v>
      </c>
      <c r="AB1122" s="313" t="str">
        <f t="shared" si="90"/>
        <v/>
      </c>
      <c r="AC1122" s="170" t="str">
        <f t="shared" si="91"/>
        <v/>
      </c>
      <c r="AD1122" s="170" t="str">
        <f t="shared" si="92"/>
        <v/>
      </c>
    </row>
    <row r="1123" spans="1:30" s="170" customFormat="1" ht="20.399999999999999">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89"/>
        <v/>
      </c>
      <c r="T1123" s="155" t="str">
        <f ca="1">IF(B1123="","",IF(ISERROR(MATCH($J1123,SorP!$B$1:$B$6226,0)),"",INDIRECT("'SorP'!$A$"&amp;MATCH($S1123&amp;$J1123,SorP!C:C,0))))</f>
        <v/>
      </c>
      <c r="U1123" s="168"/>
      <c r="V1123" s="169" t="e">
        <f>IF(C1123="",NA(),MATCH($B1123&amp;$C1123,'Smelter Look-up'!$J:$J,0))</f>
        <v>#N/A</v>
      </c>
      <c r="X1123" s="170">
        <f t="shared" ca="1" si="88"/>
        <v>0</v>
      </c>
      <c r="AB1123" s="313" t="str">
        <f t="shared" si="90"/>
        <v/>
      </c>
      <c r="AC1123" s="170" t="str">
        <f t="shared" si="91"/>
        <v/>
      </c>
      <c r="AD1123" s="170" t="str">
        <f t="shared" si="92"/>
        <v/>
      </c>
    </row>
    <row r="1124" spans="1:30" s="170" customFormat="1" ht="20.399999999999999">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89"/>
        <v/>
      </c>
      <c r="T1124" s="155" t="str">
        <f ca="1">IF(B1124="","",IF(ISERROR(MATCH($J1124,SorP!$B$1:$B$6226,0)),"",INDIRECT("'SorP'!$A$"&amp;MATCH($S1124&amp;$J1124,SorP!C:C,0))))</f>
        <v/>
      </c>
      <c r="U1124" s="168"/>
      <c r="V1124" s="169" t="e">
        <f>IF(C1124="",NA(),MATCH($B1124&amp;$C1124,'Smelter Look-up'!$J:$J,0))</f>
        <v>#N/A</v>
      </c>
      <c r="X1124" s="170">
        <f t="shared" ca="1" si="88"/>
        <v>0</v>
      </c>
      <c r="AB1124" s="313" t="str">
        <f t="shared" si="90"/>
        <v/>
      </c>
      <c r="AC1124" s="170" t="str">
        <f t="shared" si="91"/>
        <v/>
      </c>
      <c r="AD1124" s="170" t="str">
        <f t="shared" si="92"/>
        <v/>
      </c>
    </row>
    <row r="1125" spans="1:30" s="170" customFormat="1" ht="20.399999999999999">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89"/>
        <v/>
      </c>
      <c r="T1125" s="155" t="str">
        <f ca="1">IF(B1125="","",IF(ISERROR(MATCH($J1125,SorP!$B$1:$B$6226,0)),"",INDIRECT("'SorP'!$A$"&amp;MATCH($S1125&amp;$J1125,SorP!C:C,0))))</f>
        <v/>
      </c>
      <c r="U1125" s="168"/>
      <c r="V1125" s="169" t="e">
        <f>IF(C1125="",NA(),MATCH($B1125&amp;$C1125,'Smelter Look-up'!$J:$J,0))</f>
        <v>#N/A</v>
      </c>
      <c r="X1125" s="170">
        <f t="shared" ca="1" si="88"/>
        <v>0</v>
      </c>
      <c r="AB1125" s="313" t="str">
        <f t="shared" si="90"/>
        <v/>
      </c>
      <c r="AC1125" s="170" t="str">
        <f t="shared" si="91"/>
        <v/>
      </c>
      <c r="AD1125" s="170" t="str">
        <f t="shared" si="92"/>
        <v/>
      </c>
    </row>
    <row r="1126" spans="1:30" s="170" customFormat="1" ht="20.399999999999999">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89"/>
        <v/>
      </c>
      <c r="T1126" s="155" t="str">
        <f ca="1">IF(B1126="","",IF(ISERROR(MATCH($J1126,SorP!$B$1:$B$6226,0)),"",INDIRECT("'SorP'!$A$"&amp;MATCH($S1126&amp;$J1126,SorP!C:C,0))))</f>
        <v/>
      </c>
      <c r="U1126" s="168"/>
      <c r="V1126" s="169" t="e">
        <f>IF(C1126="",NA(),MATCH($B1126&amp;$C1126,'Smelter Look-up'!$J:$J,0))</f>
        <v>#N/A</v>
      </c>
      <c r="X1126" s="170">
        <f t="shared" ca="1" si="88"/>
        <v>0</v>
      </c>
      <c r="AB1126" s="313" t="str">
        <f t="shared" si="90"/>
        <v/>
      </c>
      <c r="AC1126" s="170" t="str">
        <f t="shared" si="91"/>
        <v/>
      </c>
      <c r="AD1126" s="170" t="str">
        <f t="shared" si="92"/>
        <v/>
      </c>
    </row>
    <row r="1127" spans="1:30" s="170" customFormat="1" ht="20.399999999999999">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89"/>
        <v/>
      </c>
      <c r="T1127" s="155" t="str">
        <f ca="1">IF(B1127="","",IF(ISERROR(MATCH($J1127,SorP!$B$1:$B$6226,0)),"",INDIRECT("'SorP'!$A$"&amp;MATCH($S1127&amp;$J1127,SorP!C:C,0))))</f>
        <v/>
      </c>
      <c r="U1127" s="168"/>
      <c r="V1127" s="169" t="e">
        <f>IF(C1127="",NA(),MATCH($B1127&amp;$C1127,'Smelter Look-up'!$J:$J,0))</f>
        <v>#N/A</v>
      </c>
      <c r="X1127" s="170">
        <f t="shared" ca="1" si="88"/>
        <v>0</v>
      </c>
      <c r="AB1127" s="313" t="str">
        <f t="shared" si="90"/>
        <v/>
      </c>
      <c r="AC1127" s="170" t="str">
        <f t="shared" si="91"/>
        <v/>
      </c>
      <c r="AD1127" s="170" t="str">
        <f t="shared" si="92"/>
        <v/>
      </c>
    </row>
    <row r="1128" spans="1:30" s="170" customFormat="1" ht="20.399999999999999">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89"/>
        <v/>
      </c>
      <c r="T1128" s="155" t="str">
        <f ca="1">IF(B1128="","",IF(ISERROR(MATCH($J1128,SorP!$B$1:$B$6226,0)),"",INDIRECT("'SorP'!$A$"&amp;MATCH($S1128&amp;$J1128,SorP!C:C,0))))</f>
        <v/>
      </c>
      <c r="U1128" s="168"/>
      <c r="V1128" s="169" t="e">
        <f>IF(C1128="",NA(),MATCH($B1128&amp;$C1128,'Smelter Look-up'!$J:$J,0))</f>
        <v>#N/A</v>
      </c>
      <c r="X1128" s="170">
        <f t="shared" ca="1" si="88"/>
        <v>0</v>
      </c>
      <c r="AB1128" s="313" t="str">
        <f t="shared" si="90"/>
        <v/>
      </c>
      <c r="AC1128" s="170" t="str">
        <f t="shared" si="91"/>
        <v/>
      </c>
      <c r="AD1128" s="170" t="str">
        <f t="shared" si="92"/>
        <v/>
      </c>
    </row>
    <row r="1129" spans="1:30" s="170" customFormat="1" ht="20.399999999999999">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89"/>
        <v/>
      </c>
      <c r="T1129" s="155" t="str">
        <f ca="1">IF(B1129="","",IF(ISERROR(MATCH($J1129,SorP!$B$1:$B$6226,0)),"",INDIRECT("'SorP'!$A$"&amp;MATCH($S1129&amp;$J1129,SorP!C:C,0))))</f>
        <v/>
      </c>
      <c r="U1129" s="168"/>
      <c r="V1129" s="169" t="e">
        <f>IF(C1129="",NA(),MATCH($B1129&amp;$C1129,'Smelter Look-up'!$J:$J,0))</f>
        <v>#N/A</v>
      </c>
      <c r="X1129" s="170">
        <f t="shared" ca="1" si="88"/>
        <v>0</v>
      </c>
      <c r="AB1129" s="313" t="str">
        <f t="shared" si="90"/>
        <v/>
      </c>
      <c r="AC1129" s="170" t="str">
        <f t="shared" si="91"/>
        <v/>
      </c>
      <c r="AD1129" s="170" t="str">
        <f t="shared" si="92"/>
        <v/>
      </c>
    </row>
    <row r="1130" spans="1:30" s="170" customFormat="1" ht="20.399999999999999">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89"/>
        <v/>
      </c>
      <c r="T1130" s="155" t="str">
        <f ca="1">IF(B1130="","",IF(ISERROR(MATCH($J1130,SorP!$B$1:$B$6226,0)),"",INDIRECT("'SorP'!$A$"&amp;MATCH($S1130&amp;$J1130,SorP!C:C,0))))</f>
        <v/>
      </c>
      <c r="U1130" s="168"/>
      <c r="V1130" s="169" t="e">
        <f>IF(C1130="",NA(),MATCH($B1130&amp;$C1130,'Smelter Look-up'!$J:$J,0))</f>
        <v>#N/A</v>
      </c>
      <c r="X1130" s="170">
        <f t="shared" ca="1" si="88"/>
        <v>0</v>
      </c>
      <c r="AB1130" s="313" t="str">
        <f t="shared" si="90"/>
        <v/>
      </c>
      <c r="AC1130" s="170" t="str">
        <f t="shared" si="91"/>
        <v/>
      </c>
      <c r="AD1130" s="170" t="str">
        <f t="shared" si="92"/>
        <v/>
      </c>
    </row>
    <row r="1131" spans="1:30" s="170" customFormat="1" ht="20.399999999999999">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89"/>
        <v/>
      </c>
      <c r="T1131" s="155" t="str">
        <f ca="1">IF(B1131="","",IF(ISERROR(MATCH($J1131,SorP!$B$1:$B$6226,0)),"",INDIRECT("'SorP'!$A$"&amp;MATCH($S1131&amp;$J1131,SorP!C:C,0))))</f>
        <v/>
      </c>
      <c r="U1131" s="168"/>
      <c r="V1131" s="169" t="e">
        <f>IF(C1131="",NA(),MATCH($B1131&amp;$C1131,'Smelter Look-up'!$J:$J,0))</f>
        <v>#N/A</v>
      </c>
      <c r="X1131" s="170">
        <f t="shared" ca="1" si="88"/>
        <v>0</v>
      </c>
      <c r="AB1131" s="313" t="str">
        <f t="shared" si="90"/>
        <v/>
      </c>
      <c r="AC1131" s="170" t="str">
        <f t="shared" si="91"/>
        <v/>
      </c>
      <c r="AD1131" s="170" t="str">
        <f t="shared" si="92"/>
        <v/>
      </c>
    </row>
    <row r="1132" spans="1:30" s="170" customFormat="1" ht="20.399999999999999">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89"/>
        <v/>
      </c>
      <c r="T1132" s="155" t="str">
        <f ca="1">IF(B1132="","",IF(ISERROR(MATCH($J1132,SorP!$B$1:$B$6226,0)),"",INDIRECT("'SorP'!$A$"&amp;MATCH($S1132&amp;$J1132,SorP!C:C,0))))</f>
        <v/>
      </c>
      <c r="U1132" s="168"/>
      <c r="V1132" s="169" t="e">
        <f>IF(C1132="",NA(),MATCH($B1132&amp;$C1132,'Smelter Look-up'!$J:$J,0))</f>
        <v>#N/A</v>
      </c>
      <c r="X1132" s="170">
        <f t="shared" ca="1" si="88"/>
        <v>0</v>
      </c>
      <c r="AB1132" s="313" t="str">
        <f t="shared" si="90"/>
        <v/>
      </c>
      <c r="AC1132" s="170" t="str">
        <f t="shared" si="91"/>
        <v/>
      </c>
      <c r="AD1132" s="170" t="str">
        <f t="shared" si="92"/>
        <v/>
      </c>
    </row>
    <row r="1133" spans="1:30" s="170" customFormat="1" ht="20.399999999999999">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89"/>
        <v/>
      </c>
      <c r="T1133" s="155" t="str">
        <f ca="1">IF(B1133="","",IF(ISERROR(MATCH($J1133,SorP!$B$1:$B$6226,0)),"",INDIRECT("'SorP'!$A$"&amp;MATCH($S1133&amp;$J1133,SorP!C:C,0))))</f>
        <v/>
      </c>
      <c r="U1133" s="168"/>
      <c r="V1133" s="169" t="e">
        <f>IF(C1133="",NA(),MATCH($B1133&amp;$C1133,'Smelter Look-up'!$J:$J,0))</f>
        <v>#N/A</v>
      </c>
      <c r="X1133" s="170">
        <f t="shared" ca="1" si="88"/>
        <v>0</v>
      </c>
      <c r="AB1133" s="313" t="str">
        <f t="shared" si="90"/>
        <v/>
      </c>
      <c r="AC1133" s="170" t="str">
        <f t="shared" si="91"/>
        <v/>
      </c>
      <c r="AD1133" s="170" t="str">
        <f t="shared" si="92"/>
        <v/>
      </c>
    </row>
    <row r="1134" spans="1:30" s="170" customFormat="1" ht="20.399999999999999">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89"/>
        <v/>
      </c>
      <c r="T1134" s="155" t="str">
        <f ca="1">IF(B1134="","",IF(ISERROR(MATCH($J1134,SorP!$B$1:$B$6226,0)),"",INDIRECT("'SorP'!$A$"&amp;MATCH($S1134&amp;$J1134,SorP!C:C,0))))</f>
        <v/>
      </c>
      <c r="U1134" s="168"/>
      <c r="V1134" s="169" t="e">
        <f>IF(C1134="",NA(),MATCH($B1134&amp;$C1134,'Smelter Look-up'!$J:$J,0))</f>
        <v>#N/A</v>
      </c>
      <c r="X1134" s="170">
        <f t="shared" ca="1" si="88"/>
        <v>0</v>
      </c>
      <c r="AB1134" s="313" t="str">
        <f t="shared" si="90"/>
        <v/>
      </c>
      <c r="AC1134" s="170" t="str">
        <f t="shared" si="91"/>
        <v/>
      </c>
      <c r="AD1134" s="170" t="str">
        <f t="shared" si="92"/>
        <v/>
      </c>
    </row>
    <row r="1135" spans="1:30" s="170" customFormat="1" ht="20.399999999999999">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89"/>
        <v/>
      </c>
      <c r="T1135" s="155" t="str">
        <f ca="1">IF(B1135="","",IF(ISERROR(MATCH($J1135,SorP!$B$1:$B$6226,0)),"",INDIRECT("'SorP'!$A$"&amp;MATCH($S1135&amp;$J1135,SorP!C:C,0))))</f>
        <v/>
      </c>
      <c r="U1135" s="168"/>
      <c r="V1135" s="169" t="e">
        <f>IF(C1135="",NA(),MATCH($B1135&amp;$C1135,'Smelter Look-up'!$J:$J,0))</f>
        <v>#N/A</v>
      </c>
      <c r="X1135" s="170">
        <f t="shared" ca="1" si="88"/>
        <v>0</v>
      </c>
      <c r="AB1135" s="313" t="str">
        <f t="shared" si="90"/>
        <v/>
      </c>
      <c r="AC1135" s="170" t="str">
        <f t="shared" si="91"/>
        <v/>
      </c>
      <c r="AD1135" s="170" t="str">
        <f t="shared" si="92"/>
        <v/>
      </c>
    </row>
    <row r="1136" spans="1:30" s="170" customFormat="1" ht="20.399999999999999">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89"/>
        <v/>
      </c>
      <c r="T1136" s="155" t="str">
        <f ca="1">IF(B1136="","",IF(ISERROR(MATCH($J1136,SorP!$B$1:$B$6226,0)),"",INDIRECT("'SorP'!$A$"&amp;MATCH($S1136&amp;$J1136,SorP!C:C,0))))</f>
        <v/>
      </c>
      <c r="U1136" s="168"/>
      <c r="V1136" s="169" t="e">
        <f>IF(C1136="",NA(),MATCH($B1136&amp;$C1136,'Smelter Look-up'!$J:$J,0))</f>
        <v>#N/A</v>
      </c>
      <c r="X1136" s="170">
        <f t="shared" ca="1" si="88"/>
        <v>0</v>
      </c>
      <c r="AB1136" s="313" t="str">
        <f t="shared" si="90"/>
        <v/>
      </c>
      <c r="AC1136" s="170" t="str">
        <f t="shared" si="91"/>
        <v/>
      </c>
      <c r="AD1136" s="170" t="str">
        <f t="shared" si="92"/>
        <v/>
      </c>
    </row>
    <row r="1137" spans="1:30" s="170" customFormat="1" ht="20.399999999999999">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89"/>
        <v/>
      </c>
      <c r="T1137" s="155" t="str">
        <f ca="1">IF(B1137="","",IF(ISERROR(MATCH($J1137,SorP!$B$1:$B$6226,0)),"",INDIRECT("'SorP'!$A$"&amp;MATCH($S1137&amp;$J1137,SorP!C:C,0))))</f>
        <v/>
      </c>
      <c r="U1137" s="168"/>
      <c r="V1137" s="169" t="e">
        <f>IF(C1137="",NA(),MATCH($B1137&amp;$C1137,'Smelter Look-up'!$J:$J,0))</f>
        <v>#N/A</v>
      </c>
      <c r="X1137" s="170">
        <f t="shared" ca="1" si="88"/>
        <v>0</v>
      </c>
      <c r="AB1137" s="313" t="str">
        <f t="shared" si="90"/>
        <v/>
      </c>
      <c r="AC1137" s="170" t="str">
        <f t="shared" si="91"/>
        <v/>
      </c>
      <c r="AD1137" s="170" t="str">
        <f t="shared" si="92"/>
        <v/>
      </c>
    </row>
    <row r="1138" spans="1:30" s="170" customFormat="1" ht="20.399999999999999">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89"/>
        <v/>
      </c>
      <c r="T1138" s="155" t="str">
        <f ca="1">IF(B1138="","",IF(ISERROR(MATCH($J1138,SorP!$B$1:$B$6226,0)),"",INDIRECT("'SorP'!$A$"&amp;MATCH($S1138&amp;$J1138,SorP!C:C,0))))</f>
        <v/>
      </c>
      <c r="U1138" s="168"/>
      <c r="V1138" s="169" t="e">
        <f>IF(C1138="",NA(),MATCH($B1138&amp;$C1138,'Smelter Look-up'!$J:$J,0))</f>
        <v>#N/A</v>
      </c>
      <c r="X1138" s="170">
        <f t="shared" ca="1" si="88"/>
        <v>0</v>
      </c>
      <c r="AB1138" s="313" t="str">
        <f t="shared" si="90"/>
        <v/>
      </c>
      <c r="AC1138" s="170" t="str">
        <f t="shared" si="91"/>
        <v/>
      </c>
      <c r="AD1138" s="170" t="str">
        <f t="shared" si="92"/>
        <v/>
      </c>
    </row>
    <row r="1139" spans="1:30" s="170" customFormat="1" ht="20.399999999999999">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89"/>
        <v/>
      </c>
      <c r="T1139" s="155" t="str">
        <f ca="1">IF(B1139="","",IF(ISERROR(MATCH($J1139,SorP!$B$1:$B$6226,0)),"",INDIRECT("'SorP'!$A$"&amp;MATCH($S1139&amp;$J1139,SorP!C:C,0))))</f>
        <v/>
      </c>
      <c r="U1139" s="168"/>
      <c r="V1139" s="169" t="e">
        <f>IF(C1139="",NA(),MATCH($B1139&amp;$C1139,'Smelter Look-up'!$J:$J,0))</f>
        <v>#N/A</v>
      </c>
      <c r="X1139" s="170">
        <f t="shared" ca="1" si="88"/>
        <v>0</v>
      </c>
      <c r="AB1139" s="313" t="str">
        <f t="shared" si="90"/>
        <v/>
      </c>
      <c r="AC1139" s="170" t="str">
        <f t="shared" si="91"/>
        <v/>
      </c>
      <c r="AD1139" s="170" t="str">
        <f t="shared" si="92"/>
        <v/>
      </c>
    </row>
    <row r="1140" spans="1:30" s="170" customFormat="1" ht="20.399999999999999">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89"/>
        <v/>
      </c>
      <c r="T1140" s="155" t="str">
        <f ca="1">IF(B1140="","",IF(ISERROR(MATCH($J1140,SorP!$B$1:$B$6226,0)),"",INDIRECT("'SorP'!$A$"&amp;MATCH($S1140&amp;$J1140,SorP!C:C,0))))</f>
        <v/>
      </c>
      <c r="U1140" s="168"/>
      <c r="V1140" s="169" t="e">
        <f>IF(C1140="",NA(),MATCH($B1140&amp;$C1140,'Smelter Look-up'!$J:$J,0))</f>
        <v>#N/A</v>
      </c>
      <c r="X1140" s="170">
        <f t="shared" ca="1" si="88"/>
        <v>0</v>
      </c>
      <c r="AB1140" s="313" t="str">
        <f t="shared" si="90"/>
        <v/>
      </c>
      <c r="AC1140" s="170" t="str">
        <f t="shared" si="91"/>
        <v/>
      </c>
      <c r="AD1140" s="170" t="str">
        <f t="shared" si="92"/>
        <v/>
      </c>
    </row>
    <row r="1141" spans="1:30" s="170" customFormat="1" ht="20.399999999999999">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89"/>
        <v/>
      </c>
      <c r="T1141" s="155" t="str">
        <f ca="1">IF(B1141="","",IF(ISERROR(MATCH($J1141,SorP!$B$1:$B$6226,0)),"",INDIRECT("'SorP'!$A$"&amp;MATCH($S1141&amp;$J1141,SorP!C:C,0))))</f>
        <v/>
      </c>
      <c r="U1141" s="168"/>
      <c r="V1141" s="169" t="e">
        <f>IF(C1141="",NA(),MATCH($B1141&amp;$C1141,'Smelter Look-up'!$J:$J,0))</f>
        <v>#N/A</v>
      </c>
      <c r="X1141" s="170">
        <f t="shared" ca="1" si="88"/>
        <v>0</v>
      </c>
      <c r="AB1141" s="313" t="str">
        <f t="shared" si="90"/>
        <v/>
      </c>
      <c r="AC1141" s="170" t="str">
        <f t="shared" si="91"/>
        <v/>
      </c>
      <c r="AD1141" s="170" t="str">
        <f t="shared" si="92"/>
        <v/>
      </c>
    </row>
    <row r="1142" spans="1:30" s="170" customFormat="1" ht="20.399999999999999">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89"/>
        <v/>
      </c>
      <c r="T1142" s="155" t="str">
        <f ca="1">IF(B1142="","",IF(ISERROR(MATCH($J1142,SorP!$B$1:$B$6226,0)),"",INDIRECT("'SorP'!$A$"&amp;MATCH($S1142&amp;$J1142,SorP!C:C,0))))</f>
        <v/>
      </c>
      <c r="U1142" s="168"/>
      <c r="V1142" s="169" t="e">
        <f>IF(C1142="",NA(),MATCH($B1142&amp;$C1142,'Smelter Look-up'!$J:$J,0))</f>
        <v>#N/A</v>
      </c>
      <c r="X1142" s="170">
        <f t="shared" ca="1" si="88"/>
        <v>0</v>
      </c>
      <c r="AB1142" s="313" t="str">
        <f t="shared" si="90"/>
        <v/>
      </c>
      <c r="AC1142" s="170" t="str">
        <f t="shared" si="91"/>
        <v/>
      </c>
      <c r="AD1142" s="170" t="str">
        <f t="shared" si="92"/>
        <v/>
      </c>
    </row>
    <row r="1143" spans="1:30" s="170" customFormat="1" ht="20.399999999999999">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89"/>
        <v/>
      </c>
      <c r="T1143" s="155" t="str">
        <f ca="1">IF(B1143="","",IF(ISERROR(MATCH($J1143,SorP!$B$1:$B$6226,0)),"",INDIRECT("'SorP'!$A$"&amp;MATCH($S1143&amp;$J1143,SorP!C:C,0))))</f>
        <v/>
      </c>
      <c r="U1143" s="168"/>
      <c r="V1143" s="169" t="e">
        <f>IF(C1143="",NA(),MATCH($B1143&amp;$C1143,'Smelter Look-up'!$J:$J,0))</f>
        <v>#N/A</v>
      </c>
      <c r="X1143" s="170">
        <f t="shared" ca="1" si="88"/>
        <v>0</v>
      </c>
      <c r="AB1143" s="313" t="str">
        <f t="shared" si="90"/>
        <v/>
      </c>
      <c r="AC1143" s="170" t="str">
        <f t="shared" si="91"/>
        <v/>
      </c>
      <c r="AD1143" s="170" t="str">
        <f t="shared" si="92"/>
        <v/>
      </c>
    </row>
    <row r="1144" spans="1:30" s="170" customFormat="1" ht="20.399999999999999">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89"/>
        <v/>
      </c>
      <c r="T1144" s="155" t="str">
        <f ca="1">IF(B1144="","",IF(ISERROR(MATCH($J1144,SorP!$B$1:$B$6226,0)),"",INDIRECT("'SorP'!$A$"&amp;MATCH($S1144&amp;$J1144,SorP!C:C,0))))</f>
        <v/>
      </c>
      <c r="U1144" s="168"/>
      <c r="V1144" s="169" t="e">
        <f>IF(C1144="",NA(),MATCH($B1144&amp;$C1144,'Smelter Look-up'!$J:$J,0))</f>
        <v>#N/A</v>
      </c>
      <c r="X1144" s="170">
        <f t="shared" ca="1" si="88"/>
        <v>0</v>
      </c>
      <c r="AB1144" s="313" t="str">
        <f t="shared" si="90"/>
        <v/>
      </c>
      <c r="AC1144" s="170" t="str">
        <f t="shared" si="91"/>
        <v/>
      </c>
      <c r="AD1144" s="170" t="str">
        <f t="shared" si="92"/>
        <v/>
      </c>
    </row>
    <row r="1145" spans="1:30" s="170" customFormat="1" ht="20.399999999999999">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89"/>
        <v/>
      </c>
      <c r="T1145" s="155" t="str">
        <f ca="1">IF(B1145="","",IF(ISERROR(MATCH($J1145,SorP!$B$1:$B$6226,0)),"",INDIRECT("'SorP'!$A$"&amp;MATCH($S1145&amp;$J1145,SorP!C:C,0))))</f>
        <v/>
      </c>
      <c r="U1145" s="168"/>
      <c r="V1145" s="169" t="e">
        <f>IF(C1145="",NA(),MATCH($B1145&amp;$C1145,'Smelter Look-up'!$J:$J,0))</f>
        <v>#N/A</v>
      </c>
      <c r="X1145" s="170">
        <f t="shared" ca="1" si="88"/>
        <v>0</v>
      </c>
      <c r="AB1145" s="313" t="str">
        <f t="shared" si="90"/>
        <v/>
      </c>
      <c r="AC1145" s="170" t="str">
        <f t="shared" si="91"/>
        <v/>
      </c>
      <c r="AD1145" s="170" t="str">
        <f t="shared" si="92"/>
        <v/>
      </c>
    </row>
    <row r="1146" spans="1:30" s="170" customFormat="1" ht="20.399999999999999">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89"/>
        <v/>
      </c>
      <c r="T1146" s="155" t="str">
        <f ca="1">IF(B1146="","",IF(ISERROR(MATCH($J1146,SorP!$B$1:$B$6226,0)),"",INDIRECT("'SorP'!$A$"&amp;MATCH($S1146&amp;$J1146,SorP!C:C,0))))</f>
        <v/>
      </c>
      <c r="U1146" s="168"/>
      <c r="V1146" s="169" t="e">
        <f>IF(C1146="",NA(),MATCH($B1146&amp;$C1146,'Smelter Look-up'!$J:$J,0))</f>
        <v>#N/A</v>
      </c>
      <c r="X1146" s="170">
        <f t="shared" ca="1" si="88"/>
        <v>0</v>
      </c>
      <c r="AB1146" s="313" t="str">
        <f t="shared" si="90"/>
        <v/>
      </c>
      <c r="AC1146" s="170" t="str">
        <f t="shared" si="91"/>
        <v/>
      </c>
      <c r="AD1146" s="170" t="str">
        <f t="shared" si="92"/>
        <v/>
      </c>
    </row>
    <row r="1147" spans="1:30" s="170" customFormat="1" ht="20.399999999999999">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89"/>
        <v/>
      </c>
      <c r="T1147" s="155" t="str">
        <f ca="1">IF(B1147="","",IF(ISERROR(MATCH($J1147,SorP!$B$1:$B$6226,0)),"",INDIRECT("'SorP'!$A$"&amp;MATCH($S1147&amp;$J1147,SorP!C:C,0))))</f>
        <v/>
      </c>
      <c r="U1147" s="168"/>
      <c r="V1147" s="169" t="e">
        <f>IF(C1147="",NA(),MATCH($B1147&amp;$C1147,'Smelter Look-up'!$J:$J,0))</f>
        <v>#N/A</v>
      </c>
      <c r="X1147" s="170">
        <f t="shared" ca="1" si="88"/>
        <v>0</v>
      </c>
      <c r="AB1147" s="313" t="str">
        <f t="shared" si="90"/>
        <v/>
      </c>
      <c r="AC1147" s="170" t="str">
        <f t="shared" si="91"/>
        <v/>
      </c>
      <c r="AD1147" s="170" t="str">
        <f t="shared" si="92"/>
        <v/>
      </c>
    </row>
    <row r="1148" spans="1:30" s="170" customFormat="1" ht="20.399999999999999">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89"/>
        <v/>
      </c>
      <c r="T1148" s="155" t="str">
        <f ca="1">IF(B1148="","",IF(ISERROR(MATCH($J1148,SorP!$B$1:$B$6226,0)),"",INDIRECT("'SorP'!$A$"&amp;MATCH($S1148&amp;$J1148,SorP!C:C,0))))</f>
        <v/>
      </c>
      <c r="U1148" s="168"/>
      <c r="V1148" s="169" t="e">
        <f>IF(C1148="",NA(),MATCH($B1148&amp;$C1148,'Smelter Look-up'!$J:$J,0))</f>
        <v>#N/A</v>
      </c>
      <c r="X1148" s="170">
        <f t="shared" ca="1" si="88"/>
        <v>0</v>
      </c>
      <c r="AB1148" s="313" t="str">
        <f t="shared" si="90"/>
        <v/>
      </c>
      <c r="AC1148" s="170" t="str">
        <f t="shared" si="91"/>
        <v/>
      </c>
      <c r="AD1148" s="170" t="str">
        <f t="shared" si="92"/>
        <v/>
      </c>
    </row>
    <row r="1149" spans="1:30" s="170" customFormat="1" ht="20.399999999999999">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89"/>
        <v/>
      </c>
      <c r="T1149" s="155" t="str">
        <f ca="1">IF(B1149="","",IF(ISERROR(MATCH($J1149,SorP!$B$1:$B$6226,0)),"",INDIRECT("'SorP'!$A$"&amp;MATCH($S1149&amp;$J1149,SorP!C:C,0))))</f>
        <v/>
      </c>
      <c r="U1149" s="168"/>
      <c r="V1149" s="169" t="e">
        <f>IF(C1149="",NA(),MATCH($B1149&amp;$C1149,'Smelter Look-up'!$J:$J,0))</f>
        <v>#N/A</v>
      </c>
      <c r="X1149" s="170">
        <f t="shared" ca="1" si="88"/>
        <v>0</v>
      </c>
      <c r="AB1149" s="313" t="str">
        <f t="shared" si="90"/>
        <v/>
      </c>
      <c r="AC1149" s="170" t="str">
        <f t="shared" si="91"/>
        <v/>
      </c>
      <c r="AD1149" s="170" t="str">
        <f t="shared" si="92"/>
        <v/>
      </c>
    </row>
    <row r="1150" spans="1:30" s="170" customFormat="1" ht="20.399999999999999">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89"/>
        <v/>
      </c>
      <c r="T1150" s="155" t="str">
        <f ca="1">IF(B1150="","",IF(ISERROR(MATCH($J1150,SorP!$B$1:$B$6226,0)),"",INDIRECT("'SorP'!$A$"&amp;MATCH($S1150&amp;$J1150,SorP!C:C,0))))</f>
        <v/>
      </c>
      <c r="U1150" s="168"/>
      <c r="V1150" s="169" t="e">
        <f>IF(C1150="",NA(),MATCH($B1150&amp;$C1150,'Smelter Look-up'!$J:$J,0))</f>
        <v>#N/A</v>
      </c>
      <c r="X1150" s="170">
        <f t="shared" ca="1" si="88"/>
        <v>0</v>
      </c>
      <c r="AB1150" s="313" t="str">
        <f t="shared" si="90"/>
        <v/>
      </c>
      <c r="AC1150" s="170" t="str">
        <f t="shared" si="91"/>
        <v/>
      </c>
      <c r="AD1150" s="170" t="str">
        <f t="shared" si="92"/>
        <v/>
      </c>
    </row>
    <row r="1151" spans="1:30" s="170" customFormat="1" ht="20.399999999999999">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89"/>
        <v/>
      </c>
      <c r="T1151" s="155" t="str">
        <f ca="1">IF(B1151="","",IF(ISERROR(MATCH($J1151,SorP!$B$1:$B$6226,0)),"",INDIRECT("'SorP'!$A$"&amp;MATCH($S1151&amp;$J1151,SorP!C:C,0))))</f>
        <v/>
      </c>
      <c r="U1151" s="168"/>
      <c r="V1151" s="169" t="e">
        <f>IF(C1151="",NA(),MATCH($B1151&amp;$C1151,'Smelter Look-up'!$J:$J,0))</f>
        <v>#N/A</v>
      </c>
      <c r="X1151" s="170">
        <f t="shared" ref="X1151:X1214" ca="1" si="93">IF(AND(C1151="Smelter not listed",OR(LEN(D1151)=0,LEN(E1151)=0)),1,0)</f>
        <v>0</v>
      </c>
      <c r="AB1151" s="313" t="str">
        <f t="shared" si="90"/>
        <v/>
      </c>
      <c r="AC1151" s="170" t="str">
        <f t="shared" si="91"/>
        <v/>
      </c>
      <c r="AD1151" s="170" t="str">
        <f t="shared" si="92"/>
        <v/>
      </c>
    </row>
    <row r="1152" spans="1:30" s="170" customFormat="1" ht="20.399999999999999">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ref="S1152:S1215" ca="1" si="94">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93"/>
        <v>0</v>
      </c>
      <c r="AB1152" s="313" t="str">
        <f t="shared" si="90"/>
        <v/>
      </c>
      <c r="AC1152" s="170" t="str">
        <f t="shared" si="91"/>
        <v/>
      </c>
      <c r="AD1152" s="170" t="str">
        <f t="shared" si="92"/>
        <v/>
      </c>
    </row>
    <row r="1153" spans="1:30" s="170" customFormat="1" ht="20.399999999999999">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94"/>
        <v/>
      </c>
      <c r="T1153" s="155" t="str">
        <f ca="1">IF(B1153="","",IF(ISERROR(MATCH($J1153,SorP!$B$1:$B$6226,0)),"",INDIRECT("'SorP'!$A$"&amp;MATCH($S1153&amp;$J1153,SorP!C:C,0))))</f>
        <v/>
      </c>
      <c r="U1153" s="168"/>
      <c r="V1153" s="169" t="e">
        <f>IF(C1153="",NA(),MATCH($B1153&amp;$C1153,'Smelter Look-up'!$J:$J,0))</f>
        <v>#N/A</v>
      </c>
      <c r="X1153" s="170">
        <f t="shared" ca="1" si="93"/>
        <v>0</v>
      </c>
      <c r="AB1153" s="313" t="str">
        <f t="shared" si="90"/>
        <v/>
      </c>
      <c r="AC1153" s="170" t="str">
        <f t="shared" si="91"/>
        <v/>
      </c>
      <c r="AD1153" s="170" t="str">
        <f t="shared" si="92"/>
        <v/>
      </c>
    </row>
    <row r="1154" spans="1:30" s="170" customFormat="1" ht="20.399999999999999">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94"/>
        <v/>
      </c>
      <c r="T1154" s="155" t="str">
        <f ca="1">IF(B1154="","",IF(ISERROR(MATCH($J1154,SorP!$B$1:$B$6226,0)),"",INDIRECT("'SorP'!$A$"&amp;MATCH($S1154&amp;$J1154,SorP!C:C,0))))</f>
        <v/>
      </c>
      <c r="U1154" s="168"/>
      <c r="V1154" s="169" t="e">
        <f>IF(C1154="",NA(),MATCH($B1154&amp;$C1154,'Smelter Look-up'!$J:$J,0))</f>
        <v>#N/A</v>
      </c>
      <c r="X1154" s="170">
        <f t="shared" ca="1" si="93"/>
        <v>0</v>
      </c>
      <c r="AB1154" s="313" t="str">
        <f t="shared" si="90"/>
        <v/>
      </c>
      <c r="AC1154" s="170" t="str">
        <f t="shared" si="91"/>
        <v/>
      </c>
      <c r="AD1154" s="170" t="str">
        <f t="shared" si="92"/>
        <v/>
      </c>
    </row>
    <row r="1155" spans="1:30" s="170" customFormat="1" ht="20.399999999999999">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94"/>
        <v/>
      </c>
      <c r="T1155" s="155" t="str">
        <f ca="1">IF(B1155="","",IF(ISERROR(MATCH($J1155,SorP!$B$1:$B$6226,0)),"",INDIRECT("'SorP'!$A$"&amp;MATCH($S1155&amp;$J1155,SorP!C:C,0))))</f>
        <v/>
      </c>
      <c r="U1155" s="168"/>
      <c r="V1155" s="169" t="e">
        <f>IF(C1155="",NA(),MATCH($B1155&amp;$C1155,'Smelter Look-up'!$J:$J,0))</f>
        <v>#N/A</v>
      </c>
      <c r="X1155" s="170">
        <f t="shared" ca="1" si="93"/>
        <v>0</v>
      </c>
      <c r="AB1155" s="313" t="str">
        <f t="shared" si="90"/>
        <v/>
      </c>
      <c r="AC1155" s="170" t="str">
        <f t="shared" si="91"/>
        <v/>
      </c>
      <c r="AD1155" s="170" t="str">
        <f t="shared" si="92"/>
        <v/>
      </c>
    </row>
    <row r="1156" spans="1:30" s="170" customFormat="1" ht="20.399999999999999">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94"/>
        <v/>
      </c>
      <c r="T1156" s="155" t="str">
        <f ca="1">IF(B1156="","",IF(ISERROR(MATCH($J1156,SorP!$B$1:$B$6226,0)),"",INDIRECT("'SorP'!$A$"&amp;MATCH($S1156&amp;$J1156,SorP!C:C,0))))</f>
        <v/>
      </c>
      <c r="U1156" s="168"/>
      <c r="V1156" s="169" t="e">
        <f>IF(C1156="",NA(),MATCH($B1156&amp;$C1156,'Smelter Look-up'!$J:$J,0))</f>
        <v>#N/A</v>
      </c>
      <c r="X1156" s="170">
        <f t="shared" ca="1" si="93"/>
        <v>0</v>
      </c>
      <c r="AB1156" s="313" t="str">
        <f t="shared" si="90"/>
        <v/>
      </c>
      <c r="AC1156" s="170" t="str">
        <f t="shared" si="91"/>
        <v/>
      </c>
      <c r="AD1156" s="170" t="str">
        <f t="shared" si="92"/>
        <v/>
      </c>
    </row>
    <row r="1157" spans="1:30" s="170" customFormat="1" ht="20.399999999999999">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94"/>
        <v/>
      </c>
      <c r="T1157" s="155" t="str">
        <f ca="1">IF(B1157="","",IF(ISERROR(MATCH($J1157,SorP!$B$1:$B$6226,0)),"",INDIRECT("'SorP'!$A$"&amp;MATCH($S1157&amp;$J1157,SorP!C:C,0))))</f>
        <v/>
      </c>
      <c r="U1157" s="168"/>
      <c r="V1157" s="169" t="e">
        <f>IF(C1157="",NA(),MATCH($B1157&amp;$C1157,'Smelter Look-up'!$J:$J,0))</f>
        <v>#N/A</v>
      </c>
      <c r="X1157" s="170">
        <f t="shared" ca="1" si="93"/>
        <v>0</v>
      </c>
      <c r="AB1157" s="313" t="str">
        <f t="shared" si="90"/>
        <v/>
      </c>
      <c r="AC1157" s="170" t="str">
        <f t="shared" si="91"/>
        <v/>
      </c>
      <c r="AD1157" s="170" t="str">
        <f t="shared" si="92"/>
        <v/>
      </c>
    </row>
    <row r="1158" spans="1:30" s="170" customFormat="1" ht="20.399999999999999">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94"/>
        <v/>
      </c>
      <c r="T1158" s="155" t="str">
        <f ca="1">IF(B1158="","",IF(ISERROR(MATCH($J1158,SorP!$B$1:$B$6226,0)),"",INDIRECT("'SorP'!$A$"&amp;MATCH($S1158&amp;$J1158,SorP!C:C,0))))</f>
        <v/>
      </c>
      <c r="U1158" s="168"/>
      <c r="V1158" s="169" t="e">
        <f>IF(C1158="",NA(),MATCH($B1158&amp;$C1158,'Smelter Look-up'!$J:$J,0))</f>
        <v>#N/A</v>
      </c>
      <c r="X1158" s="170">
        <f t="shared" ca="1" si="93"/>
        <v>0</v>
      </c>
      <c r="AB1158" s="313" t="str">
        <f t="shared" ref="AB1158:AB1221" si="95">IF(C1158="","",B1158)</f>
        <v/>
      </c>
      <c r="AC1158" s="170" t="str">
        <f t="shared" ref="AC1158:AC1221" si="96">B1158</f>
        <v/>
      </c>
      <c r="AD1158" s="170" t="str">
        <f t="shared" ref="AD1158:AD1221" si="97">IF(C1158="Smelter not listed",D1158,C1158)</f>
        <v/>
      </c>
    </row>
    <row r="1159" spans="1:30" s="170" customFormat="1" ht="20.399999999999999">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94"/>
        <v/>
      </c>
      <c r="T1159" s="155" t="str">
        <f ca="1">IF(B1159="","",IF(ISERROR(MATCH($J1159,SorP!$B$1:$B$6226,0)),"",INDIRECT("'SorP'!$A$"&amp;MATCH($S1159&amp;$J1159,SorP!C:C,0))))</f>
        <v/>
      </c>
      <c r="U1159" s="168"/>
      <c r="V1159" s="169" t="e">
        <f>IF(C1159="",NA(),MATCH($B1159&amp;$C1159,'Smelter Look-up'!$J:$J,0))</f>
        <v>#N/A</v>
      </c>
      <c r="X1159" s="170">
        <f t="shared" ca="1" si="93"/>
        <v>0</v>
      </c>
      <c r="AB1159" s="313" t="str">
        <f t="shared" si="95"/>
        <v/>
      </c>
      <c r="AC1159" s="170" t="str">
        <f t="shared" si="96"/>
        <v/>
      </c>
      <c r="AD1159" s="170" t="str">
        <f t="shared" si="97"/>
        <v/>
      </c>
    </row>
    <row r="1160" spans="1:30" s="170" customFormat="1" ht="20.399999999999999">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94"/>
        <v/>
      </c>
      <c r="T1160" s="155" t="str">
        <f ca="1">IF(B1160="","",IF(ISERROR(MATCH($J1160,SorP!$B$1:$B$6226,0)),"",INDIRECT("'SorP'!$A$"&amp;MATCH($S1160&amp;$J1160,SorP!C:C,0))))</f>
        <v/>
      </c>
      <c r="U1160" s="168"/>
      <c r="V1160" s="169" t="e">
        <f>IF(C1160="",NA(),MATCH($B1160&amp;$C1160,'Smelter Look-up'!$J:$J,0))</f>
        <v>#N/A</v>
      </c>
      <c r="X1160" s="170">
        <f t="shared" ca="1" si="93"/>
        <v>0</v>
      </c>
      <c r="AB1160" s="313" t="str">
        <f t="shared" si="95"/>
        <v/>
      </c>
      <c r="AC1160" s="170" t="str">
        <f t="shared" si="96"/>
        <v/>
      </c>
      <c r="AD1160" s="170" t="str">
        <f t="shared" si="97"/>
        <v/>
      </c>
    </row>
    <row r="1161" spans="1:30" s="170" customFormat="1" ht="20.399999999999999">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94"/>
        <v/>
      </c>
      <c r="T1161" s="155" t="str">
        <f ca="1">IF(B1161="","",IF(ISERROR(MATCH($J1161,SorP!$B$1:$B$6226,0)),"",INDIRECT("'SorP'!$A$"&amp;MATCH($S1161&amp;$J1161,SorP!C:C,0))))</f>
        <v/>
      </c>
      <c r="U1161" s="168"/>
      <c r="V1161" s="169" t="e">
        <f>IF(C1161="",NA(),MATCH($B1161&amp;$C1161,'Smelter Look-up'!$J:$J,0))</f>
        <v>#N/A</v>
      </c>
      <c r="X1161" s="170">
        <f t="shared" ca="1" si="93"/>
        <v>0</v>
      </c>
      <c r="AB1161" s="313" t="str">
        <f t="shared" si="95"/>
        <v/>
      </c>
      <c r="AC1161" s="170" t="str">
        <f t="shared" si="96"/>
        <v/>
      </c>
      <c r="AD1161" s="170" t="str">
        <f t="shared" si="97"/>
        <v/>
      </c>
    </row>
    <row r="1162" spans="1:30" s="170" customFormat="1" ht="20.399999999999999">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94"/>
        <v/>
      </c>
      <c r="T1162" s="155" t="str">
        <f ca="1">IF(B1162="","",IF(ISERROR(MATCH($J1162,SorP!$B$1:$B$6226,0)),"",INDIRECT("'SorP'!$A$"&amp;MATCH($S1162&amp;$J1162,SorP!C:C,0))))</f>
        <v/>
      </c>
      <c r="U1162" s="168"/>
      <c r="V1162" s="169" t="e">
        <f>IF(C1162="",NA(),MATCH($B1162&amp;$C1162,'Smelter Look-up'!$J:$J,0))</f>
        <v>#N/A</v>
      </c>
      <c r="X1162" s="170">
        <f t="shared" ca="1" si="93"/>
        <v>0</v>
      </c>
      <c r="AB1162" s="313" t="str">
        <f t="shared" si="95"/>
        <v/>
      </c>
      <c r="AC1162" s="170" t="str">
        <f t="shared" si="96"/>
        <v/>
      </c>
      <c r="AD1162" s="170" t="str">
        <f t="shared" si="97"/>
        <v/>
      </c>
    </row>
    <row r="1163" spans="1:30" s="170" customFormat="1" ht="20.399999999999999">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94"/>
        <v/>
      </c>
      <c r="T1163" s="155" t="str">
        <f ca="1">IF(B1163="","",IF(ISERROR(MATCH($J1163,SorP!$B$1:$B$6226,0)),"",INDIRECT("'SorP'!$A$"&amp;MATCH($S1163&amp;$J1163,SorP!C:C,0))))</f>
        <v/>
      </c>
      <c r="U1163" s="168"/>
      <c r="V1163" s="169" t="e">
        <f>IF(C1163="",NA(),MATCH($B1163&amp;$C1163,'Smelter Look-up'!$J:$J,0))</f>
        <v>#N/A</v>
      </c>
      <c r="X1163" s="170">
        <f t="shared" ca="1" si="93"/>
        <v>0</v>
      </c>
      <c r="AB1163" s="313" t="str">
        <f t="shared" si="95"/>
        <v/>
      </c>
      <c r="AC1163" s="170" t="str">
        <f t="shared" si="96"/>
        <v/>
      </c>
      <c r="AD1163" s="170" t="str">
        <f t="shared" si="97"/>
        <v/>
      </c>
    </row>
    <row r="1164" spans="1:30" s="170" customFormat="1" ht="20.399999999999999">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94"/>
        <v/>
      </c>
      <c r="T1164" s="155" t="str">
        <f ca="1">IF(B1164="","",IF(ISERROR(MATCH($J1164,SorP!$B$1:$B$6226,0)),"",INDIRECT("'SorP'!$A$"&amp;MATCH($S1164&amp;$J1164,SorP!C:C,0))))</f>
        <v/>
      </c>
      <c r="U1164" s="168"/>
      <c r="V1164" s="169" t="e">
        <f>IF(C1164="",NA(),MATCH($B1164&amp;$C1164,'Smelter Look-up'!$J:$J,0))</f>
        <v>#N/A</v>
      </c>
      <c r="X1164" s="170">
        <f t="shared" ca="1" si="93"/>
        <v>0</v>
      </c>
      <c r="AB1164" s="313" t="str">
        <f t="shared" si="95"/>
        <v/>
      </c>
      <c r="AC1164" s="170" t="str">
        <f t="shared" si="96"/>
        <v/>
      </c>
      <c r="AD1164" s="170" t="str">
        <f t="shared" si="97"/>
        <v/>
      </c>
    </row>
    <row r="1165" spans="1:30" s="170" customFormat="1" ht="20.399999999999999">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94"/>
        <v/>
      </c>
      <c r="T1165" s="155" t="str">
        <f ca="1">IF(B1165="","",IF(ISERROR(MATCH($J1165,SorP!$B$1:$B$6226,0)),"",INDIRECT("'SorP'!$A$"&amp;MATCH($S1165&amp;$J1165,SorP!C:C,0))))</f>
        <v/>
      </c>
      <c r="U1165" s="168"/>
      <c r="V1165" s="169" t="e">
        <f>IF(C1165="",NA(),MATCH($B1165&amp;$C1165,'Smelter Look-up'!$J:$J,0))</f>
        <v>#N/A</v>
      </c>
      <c r="X1165" s="170">
        <f t="shared" ca="1" si="93"/>
        <v>0</v>
      </c>
      <c r="AB1165" s="313" t="str">
        <f t="shared" si="95"/>
        <v/>
      </c>
      <c r="AC1165" s="170" t="str">
        <f t="shared" si="96"/>
        <v/>
      </c>
      <c r="AD1165" s="170" t="str">
        <f t="shared" si="97"/>
        <v/>
      </c>
    </row>
    <row r="1166" spans="1:30" s="170" customFormat="1" ht="20.399999999999999">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94"/>
        <v/>
      </c>
      <c r="T1166" s="155" t="str">
        <f ca="1">IF(B1166="","",IF(ISERROR(MATCH($J1166,SorP!$B$1:$B$6226,0)),"",INDIRECT("'SorP'!$A$"&amp;MATCH($S1166&amp;$J1166,SorP!C:C,0))))</f>
        <v/>
      </c>
      <c r="U1166" s="168"/>
      <c r="V1166" s="169" t="e">
        <f>IF(C1166="",NA(),MATCH($B1166&amp;$C1166,'Smelter Look-up'!$J:$J,0))</f>
        <v>#N/A</v>
      </c>
      <c r="X1166" s="170">
        <f t="shared" ca="1" si="93"/>
        <v>0</v>
      </c>
      <c r="AB1166" s="313" t="str">
        <f t="shared" si="95"/>
        <v/>
      </c>
      <c r="AC1166" s="170" t="str">
        <f t="shared" si="96"/>
        <v/>
      </c>
      <c r="AD1166" s="170" t="str">
        <f t="shared" si="97"/>
        <v/>
      </c>
    </row>
    <row r="1167" spans="1:30" s="170" customFormat="1" ht="20.399999999999999">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94"/>
        <v/>
      </c>
      <c r="T1167" s="155" t="str">
        <f ca="1">IF(B1167="","",IF(ISERROR(MATCH($J1167,SorP!$B$1:$B$6226,0)),"",INDIRECT("'SorP'!$A$"&amp;MATCH($S1167&amp;$J1167,SorP!C:C,0))))</f>
        <v/>
      </c>
      <c r="U1167" s="168"/>
      <c r="V1167" s="169" t="e">
        <f>IF(C1167="",NA(),MATCH($B1167&amp;$C1167,'Smelter Look-up'!$J:$J,0))</f>
        <v>#N/A</v>
      </c>
      <c r="X1167" s="170">
        <f t="shared" ca="1" si="93"/>
        <v>0</v>
      </c>
      <c r="AB1167" s="313" t="str">
        <f t="shared" si="95"/>
        <v/>
      </c>
      <c r="AC1167" s="170" t="str">
        <f t="shared" si="96"/>
        <v/>
      </c>
      <c r="AD1167" s="170" t="str">
        <f t="shared" si="97"/>
        <v/>
      </c>
    </row>
    <row r="1168" spans="1:30" s="170" customFormat="1" ht="20.399999999999999">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94"/>
        <v/>
      </c>
      <c r="T1168" s="155" t="str">
        <f ca="1">IF(B1168="","",IF(ISERROR(MATCH($J1168,SorP!$B$1:$B$6226,0)),"",INDIRECT("'SorP'!$A$"&amp;MATCH($S1168&amp;$J1168,SorP!C:C,0))))</f>
        <v/>
      </c>
      <c r="U1168" s="168"/>
      <c r="V1168" s="169" t="e">
        <f>IF(C1168="",NA(),MATCH($B1168&amp;$C1168,'Smelter Look-up'!$J:$J,0))</f>
        <v>#N/A</v>
      </c>
      <c r="X1168" s="170">
        <f t="shared" ca="1" si="93"/>
        <v>0</v>
      </c>
      <c r="AB1168" s="313" t="str">
        <f t="shared" si="95"/>
        <v/>
      </c>
      <c r="AC1168" s="170" t="str">
        <f t="shared" si="96"/>
        <v/>
      </c>
      <c r="AD1168" s="170" t="str">
        <f t="shared" si="97"/>
        <v/>
      </c>
    </row>
    <row r="1169" spans="1:30" s="170" customFormat="1" ht="20.399999999999999">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94"/>
        <v/>
      </c>
      <c r="T1169" s="155" t="str">
        <f ca="1">IF(B1169="","",IF(ISERROR(MATCH($J1169,SorP!$B$1:$B$6226,0)),"",INDIRECT("'SorP'!$A$"&amp;MATCH($S1169&amp;$J1169,SorP!C:C,0))))</f>
        <v/>
      </c>
      <c r="U1169" s="168"/>
      <c r="V1169" s="169" t="e">
        <f>IF(C1169="",NA(),MATCH($B1169&amp;$C1169,'Smelter Look-up'!$J:$J,0))</f>
        <v>#N/A</v>
      </c>
      <c r="X1169" s="170">
        <f t="shared" ca="1" si="93"/>
        <v>0</v>
      </c>
      <c r="AB1169" s="313" t="str">
        <f t="shared" si="95"/>
        <v/>
      </c>
      <c r="AC1169" s="170" t="str">
        <f t="shared" si="96"/>
        <v/>
      </c>
      <c r="AD1169" s="170" t="str">
        <f t="shared" si="97"/>
        <v/>
      </c>
    </row>
    <row r="1170" spans="1:30" s="170" customFormat="1" ht="20.399999999999999">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94"/>
        <v/>
      </c>
      <c r="T1170" s="155" t="str">
        <f ca="1">IF(B1170="","",IF(ISERROR(MATCH($J1170,SorP!$B$1:$B$6226,0)),"",INDIRECT("'SorP'!$A$"&amp;MATCH($S1170&amp;$J1170,SorP!C:C,0))))</f>
        <v/>
      </c>
      <c r="U1170" s="168"/>
      <c r="V1170" s="169" t="e">
        <f>IF(C1170="",NA(),MATCH($B1170&amp;$C1170,'Smelter Look-up'!$J:$J,0))</f>
        <v>#N/A</v>
      </c>
      <c r="X1170" s="170">
        <f t="shared" ca="1" si="93"/>
        <v>0</v>
      </c>
      <c r="AB1170" s="313" t="str">
        <f t="shared" si="95"/>
        <v/>
      </c>
      <c r="AC1170" s="170" t="str">
        <f t="shared" si="96"/>
        <v/>
      </c>
      <c r="AD1170" s="170" t="str">
        <f t="shared" si="97"/>
        <v/>
      </c>
    </row>
    <row r="1171" spans="1:30" s="170" customFormat="1" ht="20.399999999999999">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94"/>
        <v/>
      </c>
      <c r="T1171" s="155" t="str">
        <f ca="1">IF(B1171="","",IF(ISERROR(MATCH($J1171,SorP!$B$1:$B$6226,0)),"",INDIRECT("'SorP'!$A$"&amp;MATCH($S1171&amp;$J1171,SorP!C:C,0))))</f>
        <v/>
      </c>
      <c r="U1171" s="168"/>
      <c r="V1171" s="169" t="e">
        <f>IF(C1171="",NA(),MATCH($B1171&amp;$C1171,'Smelter Look-up'!$J:$J,0))</f>
        <v>#N/A</v>
      </c>
      <c r="X1171" s="170">
        <f t="shared" ca="1" si="93"/>
        <v>0</v>
      </c>
      <c r="AB1171" s="313" t="str">
        <f t="shared" si="95"/>
        <v/>
      </c>
      <c r="AC1171" s="170" t="str">
        <f t="shared" si="96"/>
        <v/>
      </c>
      <c r="AD1171" s="170" t="str">
        <f t="shared" si="97"/>
        <v/>
      </c>
    </row>
    <row r="1172" spans="1:30" s="170" customFormat="1" ht="20.399999999999999">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94"/>
        <v/>
      </c>
      <c r="T1172" s="155" t="str">
        <f ca="1">IF(B1172="","",IF(ISERROR(MATCH($J1172,SorP!$B$1:$B$6226,0)),"",INDIRECT("'SorP'!$A$"&amp;MATCH($S1172&amp;$J1172,SorP!C:C,0))))</f>
        <v/>
      </c>
      <c r="U1172" s="168"/>
      <c r="V1172" s="169" t="e">
        <f>IF(C1172="",NA(),MATCH($B1172&amp;$C1172,'Smelter Look-up'!$J:$J,0))</f>
        <v>#N/A</v>
      </c>
      <c r="X1172" s="170">
        <f t="shared" ca="1" si="93"/>
        <v>0</v>
      </c>
      <c r="AB1172" s="313" t="str">
        <f t="shared" si="95"/>
        <v/>
      </c>
      <c r="AC1172" s="170" t="str">
        <f t="shared" si="96"/>
        <v/>
      </c>
      <c r="AD1172" s="170" t="str">
        <f t="shared" si="97"/>
        <v/>
      </c>
    </row>
    <row r="1173" spans="1:30" s="170" customFormat="1" ht="20.399999999999999">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94"/>
        <v/>
      </c>
      <c r="T1173" s="155" t="str">
        <f ca="1">IF(B1173="","",IF(ISERROR(MATCH($J1173,SorP!$B$1:$B$6226,0)),"",INDIRECT("'SorP'!$A$"&amp;MATCH($S1173&amp;$J1173,SorP!C:C,0))))</f>
        <v/>
      </c>
      <c r="U1173" s="168"/>
      <c r="V1173" s="169" t="e">
        <f>IF(C1173="",NA(),MATCH($B1173&amp;$C1173,'Smelter Look-up'!$J:$J,0))</f>
        <v>#N/A</v>
      </c>
      <c r="X1173" s="170">
        <f t="shared" ca="1" si="93"/>
        <v>0</v>
      </c>
      <c r="AB1173" s="313" t="str">
        <f t="shared" si="95"/>
        <v/>
      </c>
      <c r="AC1173" s="170" t="str">
        <f t="shared" si="96"/>
        <v/>
      </c>
      <c r="AD1173" s="170" t="str">
        <f t="shared" si="97"/>
        <v/>
      </c>
    </row>
    <row r="1174" spans="1:30" s="170" customFormat="1" ht="20.399999999999999">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94"/>
        <v/>
      </c>
      <c r="T1174" s="155" t="str">
        <f ca="1">IF(B1174="","",IF(ISERROR(MATCH($J1174,SorP!$B$1:$B$6226,0)),"",INDIRECT("'SorP'!$A$"&amp;MATCH($S1174&amp;$J1174,SorP!C:C,0))))</f>
        <v/>
      </c>
      <c r="U1174" s="168"/>
      <c r="V1174" s="169" t="e">
        <f>IF(C1174="",NA(),MATCH($B1174&amp;$C1174,'Smelter Look-up'!$J:$J,0))</f>
        <v>#N/A</v>
      </c>
      <c r="X1174" s="170">
        <f t="shared" ca="1" si="93"/>
        <v>0</v>
      </c>
      <c r="AB1174" s="313" t="str">
        <f t="shared" si="95"/>
        <v/>
      </c>
      <c r="AC1174" s="170" t="str">
        <f t="shared" si="96"/>
        <v/>
      </c>
      <c r="AD1174" s="170" t="str">
        <f t="shared" si="97"/>
        <v/>
      </c>
    </row>
    <row r="1175" spans="1:30" s="170" customFormat="1" ht="20.399999999999999">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94"/>
        <v/>
      </c>
      <c r="T1175" s="155" t="str">
        <f ca="1">IF(B1175="","",IF(ISERROR(MATCH($J1175,SorP!$B$1:$B$6226,0)),"",INDIRECT("'SorP'!$A$"&amp;MATCH($S1175&amp;$J1175,SorP!C:C,0))))</f>
        <v/>
      </c>
      <c r="U1175" s="168"/>
      <c r="V1175" s="169" t="e">
        <f>IF(C1175="",NA(),MATCH($B1175&amp;$C1175,'Smelter Look-up'!$J:$J,0))</f>
        <v>#N/A</v>
      </c>
      <c r="X1175" s="170">
        <f t="shared" ca="1" si="93"/>
        <v>0</v>
      </c>
      <c r="AB1175" s="313" t="str">
        <f t="shared" si="95"/>
        <v/>
      </c>
      <c r="AC1175" s="170" t="str">
        <f t="shared" si="96"/>
        <v/>
      </c>
      <c r="AD1175" s="170" t="str">
        <f t="shared" si="97"/>
        <v/>
      </c>
    </row>
    <row r="1176" spans="1:30" s="170" customFormat="1" ht="20.399999999999999">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94"/>
        <v/>
      </c>
      <c r="T1176" s="155" t="str">
        <f ca="1">IF(B1176="","",IF(ISERROR(MATCH($J1176,SorP!$B$1:$B$6226,0)),"",INDIRECT("'SorP'!$A$"&amp;MATCH($S1176&amp;$J1176,SorP!C:C,0))))</f>
        <v/>
      </c>
      <c r="U1176" s="168"/>
      <c r="V1176" s="169" t="e">
        <f>IF(C1176="",NA(),MATCH($B1176&amp;$C1176,'Smelter Look-up'!$J:$J,0))</f>
        <v>#N/A</v>
      </c>
      <c r="X1176" s="170">
        <f t="shared" ca="1" si="93"/>
        <v>0</v>
      </c>
      <c r="AB1176" s="313" t="str">
        <f t="shared" si="95"/>
        <v/>
      </c>
      <c r="AC1176" s="170" t="str">
        <f t="shared" si="96"/>
        <v/>
      </c>
      <c r="AD1176" s="170" t="str">
        <f t="shared" si="97"/>
        <v/>
      </c>
    </row>
    <row r="1177" spans="1:30" s="170" customFormat="1" ht="20.399999999999999">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94"/>
        <v/>
      </c>
      <c r="T1177" s="155" t="str">
        <f ca="1">IF(B1177="","",IF(ISERROR(MATCH($J1177,SorP!$B$1:$B$6226,0)),"",INDIRECT("'SorP'!$A$"&amp;MATCH($S1177&amp;$J1177,SorP!C:C,0))))</f>
        <v/>
      </c>
      <c r="U1177" s="168"/>
      <c r="V1177" s="169" t="e">
        <f>IF(C1177="",NA(),MATCH($B1177&amp;$C1177,'Smelter Look-up'!$J:$J,0))</f>
        <v>#N/A</v>
      </c>
      <c r="X1177" s="170">
        <f t="shared" ca="1" si="93"/>
        <v>0</v>
      </c>
      <c r="AB1177" s="313" t="str">
        <f t="shared" si="95"/>
        <v/>
      </c>
      <c r="AC1177" s="170" t="str">
        <f t="shared" si="96"/>
        <v/>
      </c>
      <c r="AD1177" s="170" t="str">
        <f t="shared" si="97"/>
        <v/>
      </c>
    </row>
    <row r="1178" spans="1:30" s="170" customFormat="1" ht="20.399999999999999">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94"/>
        <v/>
      </c>
      <c r="T1178" s="155" t="str">
        <f ca="1">IF(B1178="","",IF(ISERROR(MATCH($J1178,SorP!$B$1:$B$6226,0)),"",INDIRECT("'SorP'!$A$"&amp;MATCH($S1178&amp;$J1178,SorP!C:C,0))))</f>
        <v/>
      </c>
      <c r="U1178" s="168"/>
      <c r="V1178" s="169" t="e">
        <f>IF(C1178="",NA(),MATCH($B1178&amp;$C1178,'Smelter Look-up'!$J:$J,0))</f>
        <v>#N/A</v>
      </c>
      <c r="X1178" s="170">
        <f t="shared" ca="1" si="93"/>
        <v>0</v>
      </c>
      <c r="AB1178" s="313" t="str">
        <f t="shared" si="95"/>
        <v/>
      </c>
      <c r="AC1178" s="170" t="str">
        <f t="shared" si="96"/>
        <v/>
      </c>
      <c r="AD1178" s="170" t="str">
        <f t="shared" si="97"/>
        <v/>
      </c>
    </row>
    <row r="1179" spans="1:30" s="170" customFormat="1" ht="20.399999999999999">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94"/>
        <v/>
      </c>
      <c r="T1179" s="155" t="str">
        <f ca="1">IF(B1179="","",IF(ISERROR(MATCH($J1179,SorP!$B$1:$B$6226,0)),"",INDIRECT("'SorP'!$A$"&amp;MATCH($S1179&amp;$J1179,SorP!C:C,0))))</f>
        <v/>
      </c>
      <c r="U1179" s="168"/>
      <c r="V1179" s="169" t="e">
        <f>IF(C1179="",NA(),MATCH($B1179&amp;$C1179,'Smelter Look-up'!$J:$J,0))</f>
        <v>#N/A</v>
      </c>
      <c r="X1179" s="170">
        <f t="shared" ca="1" si="93"/>
        <v>0</v>
      </c>
      <c r="AB1179" s="313" t="str">
        <f t="shared" si="95"/>
        <v/>
      </c>
      <c r="AC1179" s="170" t="str">
        <f t="shared" si="96"/>
        <v/>
      </c>
      <c r="AD1179" s="170" t="str">
        <f t="shared" si="97"/>
        <v/>
      </c>
    </row>
    <row r="1180" spans="1:30" s="170" customFormat="1" ht="20.399999999999999">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94"/>
        <v/>
      </c>
      <c r="T1180" s="155" t="str">
        <f ca="1">IF(B1180="","",IF(ISERROR(MATCH($J1180,SorP!$B$1:$B$6226,0)),"",INDIRECT("'SorP'!$A$"&amp;MATCH($S1180&amp;$J1180,SorP!C:C,0))))</f>
        <v/>
      </c>
      <c r="U1180" s="168"/>
      <c r="V1180" s="169" t="e">
        <f>IF(C1180="",NA(),MATCH($B1180&amp;$C1180,'Smelter Look-up'!$J:$J,0))</f>
        <v>#N/A</v>
      </c>
      <c r="X1180" s="170">
        <f t="shared" ca="1" si="93"/>
        <v>0</v>
      </c>
      <c r="AB1180" s="313" t="str">
        <f t="shared" si="95"/>
        <v/>
      </c>
      <c r="AC1180" s="170" t="str">
        <f t="shared" si="96"/>
        <v/>
      </c>
      <c r="AD1180" s="170" t="str">
        <f t="shared" si="97"/>
        <v/>
      </c>
    </row>
    <row r="1181" spans="1:30" s="170" customFormat="1" ht="20.399999999999999">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94"/>
        <v/>
      </c>
      <c r="T1181" s="155" t="str">
        <f ca="1">IF(B1181="","",IF(ISERROR(MATCH($J1181,SorP!$B$1:$B$6226,0)),"",INDIRECT("'SorP'!$A$"&amp;MATCH($S1181&amp;$J1181,SorP!C:C,0))))</f>
        <v/>
      </c>
      <c r="U1181" s="168"/>
      <c r="V1181" s="169" t="e">
        <f>IF(C1181="",NA(),MATCH($B1181&amp;$C1181,'Smelter Look-up'!$J:$J,0))</f>
        <v>#N/A</v>
      </c>
      <c r="X1181" s="170">
        <f t="shared" ca="1" si="93"/>
        <v>0</v>
      </c>
      <c r="AB1181" s="313" t="str">
        <f t="shared" si="95"/>
        <v/>
      </c>
      <c r="AC1181" s="170" t="str">
        <f t="shared" si="96"/>
        <v/>
      </c>
      <c r="AD1181" s="170" t="str">
        <f t="shared" si="97"/>
        <v/>
      </c>
    </row>
    <row r="1182" spans="1:30" s="170" customFormat="1" ht="20.399999999999999">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94"/>
        <v/>
      </c>
      <c r="T1182" s="155" t="str">
        <f ca="1">IF(B1182="","",IF(ISERROR(MATCH($J1182,SorP!$B$1:$B$6226,0)),"",INDIRECT("'SorP'!$A$"&amp;MATCH($S1182&amp;$J1182,SorP!C:C,0))))</f>
        <v/>
      </c>
      <c r="U1182" s="168"/>
      <c r="V1182" s="169" t="e">
        <f>IF(C1182="",NA(),MATCH($B1182&amp;$C1182,'Smelter Look-up'!$J:$J,0))</f>
        <v>#N/A</v>
      </c>
      <c r="X1182" s="170">
        <f t="shared" ca="1" si="93"/>
        <v>0</v>
      </c>
      <c r="AB1182" s="313" t="str">
        <f t="shared" si="95"/>
        <v/>
      </c>
      <c r="AC1182" s="170" t="str">
        <f t="shared" si="96"/>
        <v/>
      </c>
      <c r="AD1182" s="170" t="str">
        <f t="shared" si="97"/>
        <v/>
      </c>
    </row>
    <row r="1183" spans="1:30" s="170" customFormat="1" ht="20.399999999999999">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94"/>
        <v/>
      </c>
      <c r="T1183" s="155" t="str">
        <f ca="1">IF(B1183="","",IF(ISERROR(MATCH($J1183,SorP!$B$1:$B$6226,0)),"",INDIRECT("'SorP'!$A$"&amp;MATCH($S1183&amp;$J1183,SorP!C:C,0))))</f>
        <v/>
      </c>
      <c r="U1183" s="168"/>
      <c r="V1183" s="169" t="e">
        <f>IF(C1183="",NA(),MATCH($B1183&amp;$C1183,'Smelter Look-up'!$J:$J,0))</f>
        <v>#N/A</v>
      </c>
      <c r="X1183" s="170">
        <f t="shared" ca="1" si="93"/>
        <v>0</v>
      </c>
      <c r="AB1183" s="313" t="str">
        <f t="shared" si="95"/>
        <v/>
      </c>
      <c r="AC1183" s="170" t="str">
        <f t="shared" si="96"/>
        <v/>
      </c>
      <c r="AD1183" s="170" t="str">
        <f t="shared" si="97"/>
        <v/>
      </c>
    </row>
    <row r="1184" spans="1:30" s="170" customFormat="1" ht="20.399999999999999">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94"/>
        <v/>
      </c>
      <c r="T1184" s="155" t="str">
        <f ca="1">IF(B1184="","",IF(ISERROR(MATCH($J1184,SorP!$B$1:$B$6226,0)),"",INDIRECT("'SorP'!$A$"&amp;MATCH($S1184&amp;$J1184,SorP!C:C,0))))</f>
        <v/>
      </c>
      <c r="U1184" s="168"/>
      <c r="V1184" s="169" t="e">
        <f>IF(C1184="",NA(),MATCH($B1184&amp;$C1184,'Smelter Look-up'!$J:$J,0))</f>
        <v>#N/A</v>
      </c>
      <c r="X1184" s="170">
        <f t="shared" ca="1" si="93"/>
        <v>0</v>
      </c>
      <c r="AB1184" s="313" t="str">
        <f t="shared" si="95"/>
        <v/>
      </c>
      <c r="AC1184" s="170" t="str">
        <f t="shared" si="96"/>
        <v/>
      </c>
      <c r="AD1184" s="170" t="str">
        <f t="shared" si="97"/>
        <v/>
      </c>
    </row>
    <row r="1185" spans="1:30" s="170" customFormat="1" ht="20.399999999999999">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94"/>
        <v/>
      </c>
      <c r="T1185" s="155" t="str">
        <f ca="1">IF(B1185="","",IF(ISERROR(MATCH($J1185,SorP!$B$1:$B$6226,0)),"",INDIRECT("'SorP'!$A$"&amp;MATCH($S1185&amp;$J1185,SorP!C:C,0))))</f>
        <v/>
      </c>
      <c r="U1185" s="168"/>
      <c r="V1185" s="169" t="e">
        <f>IF(C1185="",NA(),MATCH($B1185&amp;$C1185,'Smelter Look-up'!$J:$J,0))</f>
        <v>#N/A</v>
      </c>
      <c r="X1185" s="170">
        <f t="shared" ca="1" si="93"/>
        <v>0</v>
      </c>
      <c r="AB1185" s="313" t="str">
        <f t="shared" si="95"/>
        <v/>
      </c>
      <c r="AC1185" s="170" t="str">
        <f t="shared" si="96"/>
        <v/>
      </c>
      <c r="AD1185" s="170" t="str">
        <f t="shared" si="97"/>
        <v/>
      </c>
    </row>
    <row r="1186" spans="1:30" s="170" customFormat="1" ht="20.399999999999999">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94"/>
        <v/>
      </c>
      <c r="T1186" s="155" t="str">
        <f ca="1">IF(B1186="","",IF(ISERROR(MATCH($J1186,SorP!$B$1:$B$6226,0)),"",INDIRECT("'SorP'!$A$"&amp;MATCH($S1186&amp;$J1186,SorP!C:C,0))))</f>
        <v/>
      </c>
      <c r="U1186" s="168"/>
      <c r="V1186" s="169" t="e">
        <f>IF(C1186="",NA(),MATCH($B1186&amp;$C1186,'Smelter Look-up'!$J:$J,0))</f>
        <v>#N/A</v>
      </c>
      <c r="X1186" s="170">
        <f t="shared" ca="1" si="93"/>
        <v>0</v>
      </c>
      <c r="AB1186" s="313" t="str">
        <f t="shared" si="95"/>
        <v/>
      </c>
      <c r="AC1186" s="170" t="str">
        <f t="shared" si="96"/>
        <v/>
      </c>
      <c r="AD1186" s="170" t="str">
        <f t="shared" si="97"/>
        <v/>
      </c>
    </row>
    <row r="1187" spans="1:30" s="170" customFormat="1" ht="20.399999999999999">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94"/>
        <v/>
      </c>
      <c r="T1187" s="155" t="str">
        <f ca="1">IF(B1187="","",IF(ISERROR(MATCH($J1187,SorP!$B$1:$B$6226,0)),"",INDIRECT("'SorP'!$A$"&amp;MATCH($S1187&amp;$J1187,SorP!C:C,0))))</f>
        <v/>
      </c>
      <c r="U1187" s="168"/>
      <c r="V1187" s="169" t="e">
        <f>IF(C1187="",NA(),MATCH($B1187&amp;$C1187,'Smelter Look-up'!$J:$J,0))</f>
        <v>#N/A</v>
      </c>
      <c r="X1187" s="170">
        <f t="shared" ca="1" si="93"/>
        <v>0</v>
      </c>
      <c r="AB1187" s="313" t="str">
        <f t="shared" si="95"/>
        <v/>
      </c>
      <c r="AC1187" s="170" t="str">
        <f t="shared" si="96"/>
        <v/>
      </c>
      <c r="AD1187" s="170" t="str">
        <f t="shared" si="97"/>
        <v/>
      </c>
    </row>
    <row r="1188" spans="1:30" s="170" customFormat="1" ht="20.399999999999999">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94"/>
        <v/>
      </c>
      <c r="T1188" s="155" t="str">
        <f ca="1">IF(B1188="","",IF(ISERROR(MATCH($J1188,SorP!$B$1:$B$6226,0)),"",INDIRECT("'SorP'!$A$"&amp;MATCH($S1188&amp;$J1188,SorP!C:C,0))))</f>
        <v/>
      </c>
      <c r="U1188" s="168"/>
      <c r="V1188" s="169" t="e">
        <f>IF(C1188="",NA(),MATCH($B1188&amp;$C1188,'Smelter Look-up'!$J:$J,0))</f>
        <v>#N/A</v>
      </c>
      <c r="X1188" s="170">
        <f t="shared" ca="1" si="93"/>
        <v>0</v>
      </c>
      <c r="AB1188" s="313" t="str">
        <f t="shared" si="95"/>
        <v/>
      </c>
      <c r="AC1188" s="170" t="str">
        <f t="shared" si="96"/>
        <v/>
      </c>
      <c r="AD1188" s="170" t="str">
        <f t="shared" si="97"/>
        <v/>
      </c>
    </row>
    <row r="1189" spans="1:30" s="170" customFormat="1" ht="20.399999999999999">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94"/>
        <v/>
      </c>
      <c r="T1189" s="155" t="str">
        <f ca="1">IF(B1189="","",IF(ISERROR(MATCH($J1189,SorP!$B$1:$B$6226,0)),"",INDIRECT("'SorP'!$A$"&amp;MATCH($S1189&amp;$J1189,SorP!C:C,0))))</f>
        <v/>
      </c>
      <c r="U1189" s="168"/>
      <c r="V1189" s="169" t="e">
        <f>IF(C1189="",NA(),MATCH($B1189&amp;$C1189,'Smelter Look-up'!$J:$J,0))</f>
        <v>#N/A</v>
      </c>
      <c r="X1189" s="170">
        <f t="shared" ca="1" si="93"/>
        <v>0</v>
      </c>
      <c r="AB1189" s="313" t="str">
        <f t="shared" si="95"/>
        <v/>
      </c>
      <c r="AC1189" s="170" t="str">
        <f t="shared" si="96"/>
        <v/>
      </c>
      <c r="AD1189" s="170" t="str">
        <f t="shared" si="97"/>
        <v/>
      </c>
    </row>
    <row r="1190" spans="1:30" s="170" customFormat="1" ht="20.399999999999999">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94"/>
        <v/>
      </c>
      <c r="T1190" s="155" t="str">
        <f ca="1">IF(B1190="","",IF(ISERROR(MATCH($J1190,SorP!$B$1:$B$6226,0)),"",INDIRECT("'SorP'!$A$"&amp;MATCH($S1190&amp;$J1190,SorP!C:C,0))))</f>
        <v/>
      </c>
      <c r="U1190" s="168"/>
      <c r="V1190" s="169" t="e">
        <f>IF(C1190="",NA(),MATCH($B1190&amp;$C1190,'Smelter Look-up'!$J:$J,0))</f>
        <v>#N/A</v>
      </c>
      <c r="X1190" s="170">
        <f t="shared" ca="1" si="93"/>
        <v>0</v>
      </c>
      <c r="AB1190" s="313" t="str">
        <f t="shared" si="95"/>
        <v/>
      </c>
      <c r="AC1190" s="170" t="str">
        <f t="shared" si="96"/>
        <v/>
      </c>
      <c r="AD1190" s="170" t="str">
        <f t="shared" si="97"/>
        <v/>
      </c>
    </row>
    <row r="1191" spans="1:30" s="170" customFormat="1" ht="20.399999999999999">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94"/>
        <v/>
      </c>
      <c r="T1191" s="155" t="str">
        <f ca="1">IF(B1191="","",IF(ISERROR(MATCH($J1191,SorP!$B$1:$B$6226,0)),"",INDIRECT("'SorP'!$A$"&amp;MATCH($S1191&amp;$J1191,SorP!C:C,0))))</f>
        <v/>
      </c>
      <c r="U1191" s="168"/>
      <c r="V1191" s="169" t="e">
        <f>IF(C1191="",NA(),MATCH($B1191&amp;$C1191,'Smelter Look-up'!$J:$J,0))</f>
        <v>#N/A</v>
      </c>
      <c r="X1191" s="170">
        <f t="shared" ca="1" si="93"/>
        <v>0</v>
      </c>
      <c r="AB1191" s="313" t="str">
        <f t="shared" si="95"/>
        <v/>
      </c>
      <c r="AC1191" s="170" t="str">
        <f t="shared" si="96"/>
        <v/>
      </c>
      <c r="AD1191" s="170" t="str">
        <f t="shared" si="97"/>
        <v/>
      </c>
    </row>
    <row r="1192" spans="1:30" s="170" customFormat="1" ht="20.399999999999999">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94"/>
        <v/>
      </c>
      <c r="T1192" s="155" t="str">
        <f ca="1">IF(B1192="","",IF(ISERROR(MATCH($J1192,SorP!$B$1:$B$6226,0)),"",INDIRECT("'SorP'!$A$"&amp;MATCH($S1192&amp;$J1192,SorP!C:C,0))))</f>
        <v/>
      </c>
      <c r="U1192" s="168"/>
      <c r="V1192" s="169" t="e">
        <f>IF(C1192="",NA(),MATCH($B1192&amp;$C1192,'Smelter Look-up'!$J:$J,0))</f>
        <v>#N/A</v>
      </c>
      <c r="X1192" s="170">
        <f t="shared" ca="1" si="93"/>
        <v>0</v>
      </c>
      <c r="AB1192" s="313" t="str">
        <f t="shared" si="95"/>
        <v/>
      </c>
      <c r="AC1192" s="170" t="str">
        <f t="shared" si="96"/>
        <v/>
      </c>
      <c r="AD1192" s="170" t="str">
        <f t="shared" si="97"/>
        <v/>
      </c>
    </row>
    <row r="1193" spans="1:30" s="170" customFormat="1" ht="20.399999999999999">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94"/>
        <v/>
      </c>
      <c r="T1193" s="155" t="str">
        <f ca="1">IF(B1193="","",IF(ISERROR(MATCH($J1193,SorP!$B$1:$B$6226,0)),"",INDIRECT("'SorP'!$A$"&amp;MATCH($S1193&amp;$J1193,SorP!C:C,0))))</f>
        <v/>
      </c>
      <c r="U1193" s="168"/>
      <c r="V1193" s="169" t="e">
        <f>IF(C1193="",NA(),MATCH($B1193&amp;$C1193,'Smelter Look-up'!$J:$J,0))</f>
        <v>#N/A</v>
      </c>
      <c r="X1193" s="170">
        <f t="shared" ca="1" si="93"/>
        <v>0</v>
      </c>
      <c r="AB1193" s="313" t="str">
        <f t="shared" si="95"/>
        <v/>
      </c>
      <c r="AC1193" s="170" t="str">
        <f t="shared" si="96"/>
        <v/>
      </c>
      <c r="AD1193" s="170" t="str">
        <f t="shared" si="97"/>
        <v/>
      </c>
    </row>
    <row r="1194" spans="1:30" s="170" customFormat="1" ht="20.399999999999999">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94"/>
        <v/>
      </c>
      <c r="T1194" s="155" t="str">
        <f ca="1">IF(B1194="","",IF(ISERROR(MATCH($J1194,SorP!$B$1:$B$6226,0)),"",INDIRECT("'SorP'!$A$"&amp;MATCH($S1194&amp;$J1194,SorP!C:C,0))))</f>
        <v/>
      </c>
      <c r="U1194" s="168"/>
      <c r="V1194" s="169" t="e">
        <f>IF(C1194="",NA(),MATCH($B1194&amp;$C1194,'Smelter Look-up'!$J:$J,0))</f>
        <v>#N/A</v>
      </c>
      <c r="X1194" s="170">
        <f t="shared" ca="1" si="93"/>
        <v>0</v>
      </c>
      <c r="AB1194" s="313" t="str">
        <f t="shared" si="95"/>
        <v/>
      </c>
      <c r="AC1194" s="170" t="str">
        <f t="shared" si="96"/>
        <v/>
      </c>
      <c r="AD1194" s="170" t="str">
        <f t="shared" si="97"/>
        <v/>
      </c>
    </row>
    <row r="1195" spans="1:30" s="170" customFormat="1" ht="20.399999999999999">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94"/>
        <v/>
      </c>
      <c r="T1195" s="155" t="str">
        <f ca="1">IF(B1195="","",IF(ISERROR(MATCH($J1195,SorP!$B$1:$B$6226,0)),"",INDIRECT("'SorP'!$A$"&amp;MATCH($S1195&amp;$J1195,SorP!C:C,0))))</f>
        <v/>
      </c>
      <c r="U1195" s="168"/>
      <c r="V1195" s="169" t="e">
        <f>IF(C1195="",NA(),MATCH($B1195&amp;$C1195,'Smelter Look-up'!$J:$J,0))</f>
        <v>#N/A</v>
      </c>
      <c r="X1195" s="170">
        <f t="shared" ca="1" si="93"/>
        <v>0</v>
      </c>
      <c r="AB1195" s="313" t="str">
        <f t="shared" si="95"/>
        <v/>
      </c>
      <c r="AC1195" s="170" t="str">
        <f t="shared" si="96"/>
        <v/>
      </c>
      <c r="AD1195" s="170" t="str">
        <f t="shared" si="97"/>
        <v/>
      </c>
    </row>
    <row r="1196" spans="1:30" s="170" customFormat="1" ht="20.399999999999999">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94"/>
        <v/>
      </c>
      <c r="T1196" s="155" t="str">
        <f ca="1">IF(B1196="","",IF(ISERROR(MATCH($J1196,SorP!$B$1:$B$6226,0)),"",INDIRECT("'SorP'!$A$"&amp;MATCH($S1196&amp;$J1196,SorP!C:C,0))))</f>
        <v/>
      </c>
      <c r="U1196" s="168"/>
      <c r="V1196" s="169" t="e">
        <f>IF(C1196="",NA(),MATCH($B1196&amp;$C1196,'Smelter Look-up'!$J:$J,0))</f>
        <v>#N/A</v>
      </c>
      <c r="X1196" s="170">
        <f t="shared" ca="1" si="93"/>
        <v>0</v>
      </c>
      <c r="AB1196" s="313" t="str">
        <f t="shared" si="95"/>
        <v/>
      </c>
      <c r="AC1196" s="170" t="str">
        <f t="shared" si="96"/>
        <v/>
      </c>
      <c r="AD1196" s="170" t="str">
        <f t="shared" si="97"/>
        <v/>
      </c>
    </row>
    <row r="1197" spans="1:30" s="170" customFormat="1" ht="20.399999999999999">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94"/>
        <v/>
      </c>
      <c r="T1197" s="155" t="str">
        <f ca="1">IF(B1197="","",IF(ISERROR(MATCH($J1197,SorP!$B$1:$B$6226,0)),"",INDIRECT("'SorP'!$A$"&amp;MATCH($S1197&amp;$J1197,SorP!C:C,0))))</f>
        <v/>
      </c>
      <c r="U1197" s="168"/>
      <c r="V1197" s="169" t="e">
        <f>IF(C1197="",NA(),MATCH($B1197&amp;$C1197,'Smelter Look-up'!$J:$J,0))</f>
        <v>#N/A</v>
      </c>
      <c r="X1197" s="170">
        <f t="shared" ca="1" si="93"/>
        <v>0</v>
      </c>
      <c r="AB1197" s="313" t="str">
        <f t="shared" si="95"/>
        <v/>
      </c>
      <c r="AC1197" s="170" t="str">
        <f t="shared" si="96"/>
        <v/>
      </c>
      <c r="AD1197" s="170" t="str">
        <f t="shared" si="97"/>
        <v/>
      </c>
    </row>
    <row r="1198" spans="1:30" s="170" customFormat="1" ht="20.399999999999999">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94"/>
        <v/>
      </c>
      <c r="T1198" s="155" t="str">
        <f ca="1">IF(B1198="","",IF(ISERROR(MATCH($J1198,SorP!$B$1:$B$6226,0)),"",INDIRECT("'SorP'!$A$"&amp;MATCH($S1198&amp;$J1198,SorP!C:C,0))))</f>
        <v/>
      </c>
      <c r="U1198" s="168"/>
      <c r="V1198" s="169" t="e">
        <f>IF(C1198="",NA(),MATCH($B1198&amp;$C1198,'Smelter Look-up'!$J:$J,0))</f>
        <v>#N/A</v>
      </c>
      <c r="X1198" s="170">
        <f t="shared" ca="1" si="93"/>
        <v>0</v>
      </c>
      <c r="AB1198" s="313" t="str">
        <f t="shared" si="95"/>
        <v/>
      </c>
      <c r="AC1198" s="170" t="str">
        <f t="shared" si="96"/>
        <v/>
      </c>
      <c r="AD1198" s="170" t="str">
        <f t="shared" si="97"/>
        <v/>
      </c>
    </row>
    <row r="1199" spans="1:30" s="170" customFormat="1" ht="20.399999999999999">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94"/>
        <v/>
      </c>
      <c r="T1199" s="155" t="str">
        <f ca="1">IF(B1199="","",IF(ISERROR(MATCH($J1199,SorP!$B$1:$B$6226,0)),"",INDIRECT("'SorP'!$A$"&amp;MATCH($S1199&amp;$J1199,SorP!C:C,0))))</f>
        <v/>
      </c>
      <c r="U1199" s="168"/>
      <c r="V1199" s="169" t="e">
        <f>IF(C1199="",NA(),MATCH($B1199&amp;$C1199,'Smelter Look-up'!$J:$J,0))</f>
        <v>#N/A</v>
      </c>
      <c r="X1199" s="170">
        <f t="shared" ca="1" si="93"/>
        <v>0</v>
      </c>
      <c r="AB1199" s="313" t="str">
        <f t="shared" si="95"/>
        <v/>
      </c>
      <c r="AC1199" s="170" t="str">
        <f t="shared" si="96"/>
        <v/>
      </c>
      <c r="AD1199" s="170" t="str">
        <f t="shared" si="97"/>
        <v/>
      </c>
    </row>
    <row r="1200" spans="1:30" s="170" customFormat="1" ht="20.399999999999999">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94"/>
        <v/>
      </c>
      <c r="T1200" s="155" t="str">
        <f ca="1">IF(B1200="","",IF(ISERROR(MATCH($J1200,SorP!$B$1:$B$6226,0)),"",INDIRECT("'SorP'!$A$"&amp;MATCH($S1200&amp;$J1200,SorP!C:C,0))))</f>
        <v/>
      </c>
      <c r="U1200" s="168"/>
      <c r="V1200" s="169" t="e">
        <f>IF(C1200="",NA(),MATCH($B1200&amp;$C1200,'Smelter Look-up'!$J:$J,0))</f>
        <v>#N/A</v>
      </c>
      <c r="X1200" s="170">
        <f t="shared" ca="1" si="93"/>
        <v>0</v>
      </c>
      <c r="AB1200" s="313" t="str">
        <f t="shared" si="95"/>
        <v/>
      </c>
      <c r="AC1200" s="170" t="str">
        <f t="shared" si="96"/>
        <v/>
      </c>
      <c r="AD1200" s="170" t="str">
        <f t="shared" si="97"/>
        <v/>
      </c>
    </row>
    <row r="1201" spans="1:30" s="170" customFormat="1" ht="20.399999999999999">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94"/>
        <v/>
      </c>
      <c r="T1201" s="155" t="str">
        <f ca="1">IF(B1201="","",IF(ISERROR(MATCH($J1201,SorP!$B$1:$B$6226,0)),"",INDIRECT("'SorP'!$A$"&amp;MATCH($S1201&amp;$J1201,SorP!C:C,0))))</f>
        <v/>
      </c>
      <c r="U1201" s="168"/>
      <c r="V1201" s="169" t="e">
        <f>IF(C1201="",NA(),MATCH($B1201&amp;$C1201,'Smelter Look-up'!$J:$J,0))</f>
        <v>#N/A</v>
      </c>
      <c r="X1201" s="170">
        <f t="shared" ca="1" si="93"/>
        <v>0</v>
      </c>
      <c r="AB1201" s="313" t="str">
        <f t="shared" si="95"/>
        <v/>
      </c>
      <c r="AC1201" s="170" t="str">
        <f t="shared" si="96"/>
        <v/>
      </c>
      <c r="AD1201" s="170" t="str">
        <f t="shared" si="97"/>
        <v/>
      </c>
    </row>
    <row r="1202" spans="1:30" s="170" customFormat="1" ht="20.399999999999999">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94"/>
        <v/>
      </c>
      <c r="T1202" s="155" t="str">
        <f ca="1">IF(B1202="","",IF(ISERROR(MATCH($J1202,SorP!$B$1:$B$6226,0)),"",INDIRECT("'SorP'!$A$"&amp;MATCH($S1202&amp;$J1202,SorP!C:C,0))))</f>
        <v/>
      </c>
      <c r="U1202" s="168"/>
      <c r="V1202" s="169" t="e">
        <f>IF(C1202="",NA(),MATCH($B1202&amp;$C1202,'Smelter Look-up'!$J:$J,0))</f>
        <v>#N/A</v>
      </c>
      <c r="X1202" s="170">
        <f t="shared" ca="1" si="93"/>
        <v>0</v>
      </c>
      <c r="AB1202" s="313" t="str">
        <f t="shared" si="95"/>
        <v/>
      </c>
      <c r="AC1202" s="170" t="str">
        <f t="shared" si="96"/>
        <v/>
      </c>
      <c r="AD1202" s="170" t="str">
        <f t="shared" si="97"/>
        <v/>
      </c>
    </row>
    <row r="1203" spans="1:30" s="170" customFormat="1" ht="20.399999999999999">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94"/>
        <v/>
      </c>
      <c r="T1203" s="155" t="str">
        <f ca="1">IF(B1203="","",IF(ISERROR(MATCH($J1203,SorP!$B$1:$B$6226,0)),"",INDIRECT("'SorP'!$A$"&amp;MATCH($S1203&amp;$J1203,SorP!C:C,0))))</f>
        <v/>
      </c>
      <c r="U1203" s="168"/>
      <c r="V1203" s="169" t="e">
        <f>IF(C1203="",NA(),MATCH($B1203&amp;$C1203,'Smelter Look-up'!$J:$J,0))</f>
        <v>#N/A</v>
      </c>
      <c r="X1203" s="170">
        <f t="shared" ca="1" si="93"/>
        <v>0</v>
      </c>
      <c r="AB1203" s="313" t="str">
        <f t="shared" si="95"/>
        <v/>
      </c>
      <c r="AC1203" s="170" t="str">
        <f t="shared" si="96"/>
        <v/>
      </c>
      <c r="AD1203" s="170" t="str">
        <f t="shared" si="97"/>
        <v/>
      </c>
    </row>
    <row r="1204" spans="1:30" s="170" customFormat="1" ht="20.399999999999999">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94"/>
        <v/>
      </c>
      <c r="T1204" s="155" t="str">
        <f ca="1">IF(B1204="","",IF(ISERROR(MATCH($J1204,SorP!$B$1:$B$6226,0)),"",INDIRECT("'SorP'!$A$"&amp;MATCH($S1204&amp;$J1204,SorP!C:C,0))))</f>
        <v/>
      </c>
      <c r="U1204" s="168"/>
      <c r="V1204" s="169" t="e">
        <f>IF(C1204="",NA(),MATCH($B1204&amp;$C1204,'Smelter Look-up'!$J:$J,0))</f>
        <v>#N/A</v>
      </c>
      <c r="X1204" s="170">
        <f t="shared" ca="1" si="93"/>
        <v>0</v>
      </c>
      <c r="AB1204" s="313" t="str">
        <f t="shared" si="95"/>
        <v/>
      </c>
      <c r="AC1204" s="170" t="str">
        <f t="shared" si="96"/>
        <v/>
      </c>
      <c r="AD1204" s="170" t="str">
        <f t="shared" si="97"/>
        <v/>
      </c>
    </row>
    <row r="1205" spans="1:30" s="170" customFormat="1" ht="20.399999999999999">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94"/>
        <v/>
      </c>
      <c r="T1205" s="155" t="str">
        <f ca="1">IF(B1205="","",IF(ISERROR(MATCH($J1205,SorP!$B$1:$B$6226,0)),"",INDIRECT("'SorP'!$A$"&amp;MATCH($S1205&amp;$J1205,SorP!C:C,0))))</f>
        <v/>
      </c>
      <c r="U1205" s="168"/>
      <c r="V1205" s="169" t="e">
        <f>IF(C1205="",NA(),MATCH($B1205&amp;$C1205,'Smelter Look-up'!$J:$J,0))</f>
        <v>#N/A</v>
      </c>
      <c r="X1205" s="170">
        <f t="shared" ca="1" si="93"/>
        <v>0</v>
      </c>
      <c r="AB1205" s="313" t="str">
        <f t="shared" si="95"/>
        <v/>
      </c>
      <c r="AC1205" s="170" t="str">
        <f t="shared" si="96"/>
        <v/>
      </c>
      <c r="AD1205" s="170" t="str">
        <f t="shared" si="97"/>
        <v/>
      </c>
    </row>
    <row r="1206" spans="1:30" s="170" customFormat="1" ht="20.399999999999999">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94"/>
        <v/>
      </c>
      <c r="T1206" s="155" t="str">
        <f ca="1">IF(B1206="","",IF(ISERROR(MATCH($J1206,SorP!$B$1:$B$6226,0)),"",INDIRECT("'SorP'!$A$"&amp;MATCH($S1206&amp;$J1206,SorP!C:C,0))))</f>
        <v/>
      </c>
      <c r="U1206" s="168"/>
      <c r="V1206" s="169" t="e">
        <f>IF(C1206="",NA(),MATCH($B1206&amp;$C1206,'Smelter Look-up'!$J:$J,0))</f>
        <v>#N/A</v>
      </c>
      <c r="X1206" s="170">
        <f t="shared" ca="1" si="93"/>
        <v>0</v>
      </c>
      <c r="AB1206" s="313" t="str">
        <f t="shared" si="95"/>
        <v/>
      </c>
      <c r="AC1206" s="170" t="str">
        <f t="shared" si="96"/>
        <v/>
      </c>
      <c r="AD1206" s="170" t="str">
        <f t="shared" si="97"/>
        <v/>
      </c>
    </row>
    <row r="1207" spans="1:30" s="170" customFormat="1" ht="20.399999999999999">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94"/>
        <v/>
      </c>
      <c r="T1207" s="155" t="str">
        <f ca="1">IF(B1207="","",IF(ISERROR(MATCH($J1207,SorP!$B$1:$B$6226,0)),"",INDIRECT("'SorP'!$A$"&amp;MATCH($S1207&amp;$J1207,SorP!C:C,0))))</f>
        <v/>
      </c>
      <c r="U1207" s="168"/>
      <c r="V1207" s="169" t="e">
        <f>IF(C1207="",NA(),MATCH($B1207&amp;$C1207,'Smelter Look-up'!$J:$J,0))</f>
        <v>#N/A</v>
      </c>
      <c r="X1207" s="170">
        <f t="shared" ca="1" si="93"/>
        <v>0</v>
      </c>
      <c r="AB1207" s="313" t="str">
        <f t="shared" si="95"/>
        <v/>
      </c>
      <c r="AC1207" s="170" t="str">
        <f t="shared" si="96"/>
        <v/>
      </c>
      <c r="AD1207" s="170" t="str">
        <f t="shared" si="97"/>
        <v/>
      </c>
    </row>
    <row r="1208" spans="1:30" s="170" customFormat="1" ht="20.399999999999999">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94"/>
        <v/>
      </c>
      <c r="T1208" s="155" t="str">
        <f ca="1">IF(B1208="","",IF(ISERROR(MATCH($J1208,SorP!$B$1:$B$6226,0)),"",INDIRECT("'SorP'!$A$"&amp;MATCH($S1208&amp;$J1208,SorP!C:C,0))))</f>
        <v/>
      </c>
      <c r="U1208" s="168"/>
      <c r="V1208" s="169" t="e">
        <f>IF(C1208="",NA(),MATCH($B1208&amp;$C1208,'Smelter Look-up'!$J:$J,0))</f>
        <v>#N/A</v>
      </c>
      <c r="X1208" s="170">
        <f t="shared" ca="1" si="93"/>
        <v>0</v>
      </c>
      <c r="AB1208" s="313" t="str">
        <f t="shared" si="95"/>
        <v/>
      </c>
      <c r="AC1208" s="170" t="str">
        <f t="shared" si="96"/>
        <v/>
      </c>
      <c r="AD1208" s="170" t="str">
        <f t="shared" si="97"/>
        <v/>
      </c>
    </row>
    <row r="1209" spans="1:30" s="170" customFormat="1" ht="20.399999999999999">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94"/>
        <v/>
      </c>
      <c r="T1209" s="155" t="str">
        <f ca="1">IF(B1209="","",IF(ISERROR(MATCH($J1209,SorP!$B$1:$B$6226,0)),"",INDIRECT("'SorP'!$A$"&amp;MATCH($S1209&amp;$J1209,SorP!C:C,0))))</f>
        <v/>
      </c>
      <c r="U1209" s="168"/>
      <c r="V1209" s="169" t="e">
        <f>IF(C1209="",NA(),MATCH($B1209&amp;$C1209,'Smelter Look-up'!$J:$J,0))</f>
        <v>#N/A</v>
      </c>
      <c r="X1209" s="170">
        <f t="shared" ca="1" si="93"/>
        <v>0</v>
      </c>
      <c r="AB1209" s="313" t="str">
        <f t="shared" si="95"/>
        <v/>
      </c>
      <c r="AC1209" s="170" t="str">
        <f t="shared" si="96"/>
        <v/>
      </c>
      <c r="AD1209" s="170" t="str">
        <f t="shared" si="97"/>
        <v/>
      </c>
    </row>
    <row r="1210" spans="1:30" s="170" customFormat="1" ht="20.399999999999999">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94"/>
        <v/>
      </c>
      <c r="T1210" s="155" t="str">
        <f ca="1">IF(B1210="","",IF(ISERROR(MATCH($J1210,SorP!$B$1:$B$6226,0)),"",INDIRECT("'SorP'!$A$"&amp;MATCH($S1210&amp;$J1210,SorP!C:C,0))))</f>
        <v/>
      </c>
      <c r="U1210" s="168"/>
      <c r="V1210" s="169" t="e">
        <f>IF(C1210="",NA(),MATCH($B1210&amp;$C1210,'Smelter Look-up'!$J:$J,0))</f>
        <v>#N/A</v>
      </c>
      <c r="X1210" s="170">
        <f t="shared" ca="1" si="93"/>
        <v>0</v>
      </c>
      <c r="AB1210" s="313" t="str">
        <f t="shared" si="95"/>
        <v/>
      </c>
      <c r="AC1210" s="170" t="str">
        <f t="shared" si="96"/>
        <v/>
      </c>
      <c r="AD1210" s="170" t="str">
        <f t="shared" si="97"/>
        <v/>
      </c>
    </row>
    <row r="1211" spans="1:30" s="170" customFormat="1" ht="20.399999999999999">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94"/>
        <v/>
      </c>
      <c r="T1211" s="155" t="str">
        <f ca="1">IF(B1211="","",IF(ISERROR(MATCH($J1211,SorP!$B$1:$B$6226,0)),"",INDIRECT("'SorP'!$A$"&amp;MATCH($S1211&amp;$J1211,SorP!C:C,0))))</f>
        <v/>
      </c>
      <c r="U1211" s="168"/>
      <c r="V1211" s="169" t="e">
        <f>IF(C1211="",NA(),MATCH($B1211&amp;$C1211,'Smelter Look-up'!$J:$J,0))</f>
        <v>#N/A</v>
      </c>
      <c r="X1211" s="170">
        <f t="shared" ca="1" si="93"/>
        <v>0</v>
      </c>
      <c r="AB1211" s="313" t="str">
        <f t="shared" si="95"/>
        <v/>
      </c>
      <c r="AC1211" s="170" t="str">
        <f t="shared" si="96"/>
        <v/>
      </c>
      <c r="AD1211" s="170" t="str">
        <f t="shared" si="97"/>
        <v/>
      </c>
    </row>
    <row r="1212" spans="1:30" s="170" customFormat="1" ht="20.399999999999999">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94"/>
        <v/>
      </c>
      <c r="T1212" s="155" t="str">
        <f ca="1">IF(B1212="","",IF(ISERROR(MATCH($J1212,SorP!$B$1:$B$6226,0)),"",INDIRECT("'SorP'!$A$"&amp;MATCH($S1212&amp;$J1212,SorP!C:C,0))))</f>
        <v/>
      </c>
      <c r="U1212" s="168"/>
      <c r="V1212" s="169" t="e">
        <f>IF(C1212="",NA(),MATCH($B1212&amp;$C1212,'Smelter Look-up'!$J:$J,0))</f>
        <v>#N/A</v>
      </c>
      <c r="X1212" s="170">
        <f t="shared" ca="1" si="93"/>
        <v>0</v>
      </c>
      <c r="AB1212" s="313" t="str">
        <f t="shared" si="95"/>
        <v/>
      </c>
      <c r="AC1212" s="170" t="str">
        <f t="shared" si="96"/>
        <v/>
      </c>
      <c r="AD1212" s="170" t="str">
        <f t="shared" si="97"/>
        <v/>
      </c>
    </row>
    <row r="1213" spans="1:30" s="170" customFormat="1" ht="20.399999999999999">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94"/>
        <v/>
      </c>
      <c r="T1213" s="155" t="str">
        <f ca="1">IF(B1213="","",IF(ISERROR(MATCH($J1213,SorP!$B$1:$B$6226,0)),"",INDIRECT("'SorP'!$A$"&amp;MATCH($S1213&amp;$J1213,SorP!C:C,0))))</f>
        <v/>
      </c>
      <c r="U1213" s="168"/>
      <c r="V1213" s="169" t="e">
        <f>IF(C1213="",NA(),MATCH($B1213&amp;$C1213,'Smelter Look-up'!$J:$J,0))</f>
        <v>#N/A</v>
      </c>
      <c r="X1213" s="170">
        <f t="shared" ca="1" si="93"/>
        <v>0</v>
      </c>
      <c r="AB1213" s="313" t="str">
        <f t="shared" si="95"/>
        <v/>
      </c>
      <c r="AC1213" s="170" t="str">
        <f t="shared" si="96"/>
        <v/>
      </c>
      <c r="AD1213" s="170" t="str">
        <f t="shared" si="97"/>
        <v/>
      </c>
    </row>
    <row r="1214" spans="1:30" s="170" customFormat="1" ht="20.399999999999999">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94"/>
        <v/>
      </c>
      <c r="T1214" s="155" t="str">
        <f ca="1">IF(B1214="","",IF(ISERROR(MATCH($J1214,SorP!$B$1:$B$6226,0)),"",INDIRECT("'SorP'!$A$"&amp;MATCH($S1214&amp;$J1214,SorP!C:C,0))))</f>
        <v/>
      </c>
      <c r="U1214" s="168"/>
      <c r="V1214" s="169" t="e">
        <f>IF(C1214="",NA(),MATCH($B1214&amp;$C1214,'Smelter Look-up'!$J:$J,0))</f>
        <v>#N/A</v>
      </c>
      <c r="X1214" s="170">
        <f t="shared" ca="1" si="93"/>
        <v>0</v>
      </c>
      <c r="AB1214" s="313" t="str">
        <f t="shared" si="95"/>
        <v/>
      </c>
      <c r="AC1214" s="170" t="str">
        <f t="shared" si="96"/>
        <v/>
      </c>
      <c r="AD1214" s="170" t="str">
        <f t="shared" si="97"/>
        <v/>
      </c>
    </row>
    <row r="1215" spans="1:30" s="170" customFormat="1" ht="20.399999999999999">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94"/>
        <v/>
      </c>
      <c r="T1215" s="155" t="str">
        <f ca="1">IF(B1215="","",IF(ISERROR(MATCH($J1215,SorP!$B$1:$B$6226,0)),"",INDIRECT("'SorP'!$A$"&amp;MATCH($S1215&amp;$J1215,SorP!C:C,0))))</f>
        <v/>
      </c>
      <c r="U1215" s="168"/>
      <c r="V1215" s="169" t="e">
        <f>IF(C1215="",NA(),MATCH($B1215&amp;$C1215,'Smelter Look-up'!$J:$J,0))</f>
        <v>#N/A</v>
      </c>
      <c r="X1215" s="170">
        <f t="shared" ref="X1215:X1278" ca="1" si="98">IF(AND(C1215="Smelter not listed",OR(LEN(D1215)=0,LEN(E1215)=0)),1,0)</f>
        <v>0</v>
      </c>
      <c r="AB1215" s="313" t="str">
        <f t="shared" si="95"/>
        <v/>
      </c>
      <c r="AC1215" s="170" t="str">
        <f t="shared" si="96"/>
        <v/>
      </c>
      <c r="AD1215" s="170" t="str">
        <f t="shared" si="97"/>
        <v/>
      </c>
    </row>
    <row r="1216" spans="1:30" s="170" customFormat="1" ht="20.399999999999999">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ref="S1216:S1279" ca="1" si="99">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98"/>
        <v>0</v>
      </c>
      <c r="AB1216" s="313" t="str">
        <f t="shared" si="95"/>
        <v/>
      </c>
      <c r="AC1216" s="170" t="str">
        <f t="shared" si="96"/>
        <v/>
      </c>
      <c r="AD1216" s="170" t="str">
        <f t="shared" si="97"/>
        <v/>
      </c>
    </row>
    <row r="1217" spans="1:30" s="170" customFormat="1" ht="20.399999999999999">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99"/>
        <v/>
      </c>
      <c r="T1217" s="155" t="str">
        <f ca="1">IF(B1217="","",IF(ISERROR(MATCH($J1217,SorP!$B$1:$B$6226,0)),"",INDIRECT("'SorP'!$A$"&amp;MATCH($S1217&amp;$J1217,SorP!C:C,0))))</f>
        <v/>
      </c>
      <c r="U1217" s="168"/>
      <c r="V1217" s="169" t="e">
        <f>IF(C1217="",NA(),MATCH($B1217&amp;$C1217,'Smelter Look-up'!$J:$J,0))</f>
        <v>#N/A</v>
      </c>
      <c r="X1217" s="170">
        <f t="shared" ca="1" si="98"/>
        <v>0</v>
      </c>
      <c r="AB1217" s="313" t="str">
        <f t="shared" si="95"/>
        <v/>
      </c>
      <c r="AC1217" s="170" t="str">
        <f t="shared" si="96"/>
        <v/>
      </c>
      <c r="AD1217" s="170" t="str">
        <f t="shared" si="97"/>
        <v/>
      </c>
    </row>
    <row r="1218" spans="1:30" s="170" customFormat="1" ht="20.399999999999999">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99"/>
        <v/>
      </c>
      <c r="T1218" s="155" t="str">
        <f ca="1">IF(B1218="","",IF(ISERROR(MATCH($J1218,SorP!$B$1:$B$6226,0)),"",INDIRECT("'SorP'!$A$"&amp;MATCH($S1218&amp;$J1218,SorP!C:C,0))))</f>
        <v/>
      </c>
      <c r="U1218" s="168"/>
      <c r="V1218" s="169" t="e">
        <f>IF(C1218="",NA(),MATCH($B1218&amp;$C1218,'Smelter Look-up'!$J:$J,0))</f>
        <v>#N/A</v>
      </c>
      <c r="X1218" s="170">
        <f t="shared" ca="1" si="98"/>
        <v>0</v>
      </c>
      <c r="AB1218" s="313" t="str">
        <f t="shared" si="95"/>
        <v/>
      </c>
      <c r="AC1218" s="170" t="str">
        <f t="shared" si="96"/>
        <v/>
      </c>
      <c r="AD1218" s="170" t="str">
        <f t="shared" si="97"/>
        <v/>
      </c>
    </row>
    <row r="1219" spans="1:30" s="170" customFormat="1" ht="20.399999999999999">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99"/>
        <v/>
      </c>
      <c r="T1219" s="155" t="str">
        <f ca="1">IF(B1219="","",IF(ISERROR(MATCH($J1219,SorP!$B$1:$B$6226,0)),"",INDIRECT("'SorP'!$A$"&amp;MATCH($S1219&amp;$J1219,SorP!C:C,0))))</f>
        <v/>
      </c>
      <c r="U1219" s="168"/>
      <c r="V1219" s="169" t="e">
        <f>IF(C1219="",NA(),MATCH($B1219&amp;$C1219,'Smelter Look-up'!$J:$J,0))</f>
        <v>#N/A</v>
      </c>
      <c r="X1219" s="170">
        <f t="shared" ca="1" si="98"/>
        <v>0</v>
      </c>
      <c r="AB1219" s="313" t="str">
        <f t="shared" si="95"/>
        <v/>
      </c>
      <c r="AC1219" s="170" t="str">
        <f t="shared" si="96"/>
        <v/>
      </c>
      <c r="AD1219" s="170" t="str">
        <f t="shared" si="97"/>
        <v/>
      </c>
    </row>
    <row r="1220" spans="1:30" s="170" customFormat="1" ht="20.399999999999999">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99"/>
        <v/>
      </c>
      <c r="T1220" s="155" t="str">
        <f ca="1">IF(B1220="","",IF(ISERROR(MATCH($J1220,SorP!$B$1:$B$6226,0)),"",INDIRECT("'SorP'!$A$"&amp;MATCH($S1220&amp;$J1220,SorP!C:C,0))))</f>
        <v/>
      </c>
      <c r="U1220" s="168"/>
      <c r="V1220" s="169" t="e">
        <f>IF(C1220="",NA(),MATCH($B1220&amp;$C1220,'Smelter Look-up'!$J:$J,0))</f>
        <v>#N/A</v>
      </c>
      <c r="X1220" s="170">
        <f t="shared" ca="1" si="98"/>
        <v>0</v>
      </c>
      <c r="AB1220" s="313" t="str">
        <f t="shared" si="95"/>
        <v/>
      </c>
      <c r="AC1220" s="170" t="str">
        <f t="shared" si="96"/>
        <v/>
      </c>
      <c r="AD1220" s="170" t="str">
        <f t="shared" si="97"/>
        <v/>
      </c>
    </row>
    <row r="1221" spans="1:30" s="170" customFormat="1" ht="20.399999999999999">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99"/>
        <v/>
      </c>
      <c r="T1221" s="155" t="str">
        <f ca="1">IF(B1221="","",IF(ISERROR(MATCH($J1221,SorP!$B$1:$B$6226,0)),"",INDIRECT("'SorP'!$A$"&amp;MATCH($S1221&amp;$J1221,SorP!C:C,0))))</f>
        <v/>
      </c>
      <c r="U1221" s="168"/>
      <c r="V1221" s="169" t="e">
        <f>IF(C1221="",NA(),MATCH($B1221&amp;$C1221,'Smelter Look-up'!$J:$J,0))</f>
        <v>#N/A</v>
      </c>
      <c r="X1221" s="170">
        <f t="shared" ca="1" si="98"/>
        <v>0</v>
      </c>
      <c r="AB1221" s="313" t="str">
        <f t="shared" si="95"/>
        <v/>
      </c>
      <c r="AC1221" s="170" t="str">
        <f t="shared" si="96"/>
        <v/>
      </c>
      <c r="AD1221" s="170" t="str">
        <f t="shared" si="97"/>
        <v/>
      </c>
    </row>
    <row r="1222" spans="1:30" s="170" customFormat="1" ht="20.399999999999999">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99"/>
        <v/>
      </c>
      <c r="T1222" s="155" t="str">
        <f ca="1">IF(B1222="","",IF(ISERROR(MATCH($J1222,SorP!$B$1:$B$6226,0)),"",INDIRECT("'SorP'!$A$"&amp;MATCH($S1222&amp;$J1222,SorP!C:C,0))))</f>
        <v/>
      </c>
      <c r="U1222" s="168"/>
      <c r="V1222" s="169" t="e">
        <f>IF(C1222="",NA(),MATCH($B1222&amp;$C1222,'Smelter Look-up'!$J:$J,0))</f>
        <v>#N/A</v>
      </c>
      <c r="X1222" s="170">
        <f t="shared" ca="1" si="98"/>
        <v>0</v>
      </c>
      <c r="AB1222" s="313" t="str">
        <f t="shared" ref="AB1222:AB1285" si="100">IF(C1222="","",B1222)</f>
        <v/>
      </c>
      <c r="AC1222" s="170" t="str">
        <f t="shared" ref="AC1222:AC1285" si="101">B1222</f>
        <v/>
      </c>
      <c r="AD1222" s="170" t="str">
        <f t="shared" ref="AD1222:AD1285" si="102">IF(C1222="Smelter not listed",D1222,C1222)</f>
        <v/>
      </c>
    </row>
    <row r="1223" spans="1:30" s="170" customFormat="1" ht="20.399999999999999">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99"/>
        <v/>
      </c>
      <c r="T1223" s="155" t="str">
        <f ca="1">IF(B1223="","",IF(ISERROR(MATCH($J1223,SorP!$B$1:$B$6226,0)),"",INDIRECT("'SorP'!$A$"&amp;MATCH($S1223&amp;$J1223,SorP!C:C,0))))</f>
        <v/>
      </c>
      <c r="U1223" s="168"/>
      <c r="V1223" s="169" t="e">
        <f>IF(C1223="",NA(),MATCH($B1223&amp;$C1223,'Smelter Look-up'!$J:$J,0))</f>
        <v>#N/A</v>
      </c>
      <c r="X1223" s="170">
        <f t="shared" ca="1" si="98"/>
        <v>0</v>
      </c>
      <c r="AB1223" s="313" t="str">
        <f t="shared" si="100"/>
        <v/>
      </c>
      <c r="AC1223" s="170" t="str">
        <f t="shared" si="101"/>
        <v/>
      </c>
      <c r="AD1223" s="170" t="str">
        <f t="shared" si="102"/>
        <v/>
      </c>
    </row>
    <row r="1224" spans="1:30" s="170" customFormat="1" ht="20.399999999999999">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99"/>
        <v/>
      </c>
      <c r="T1224" s="155" t="str">
        <f ca="1">IF(B1224="","",IF(ISERROR(MATCH($J1224,SorP!$B$1:$B$6226,0)),"",INDIRECT("'SorP'!$A$"&amp;MATCH($S1224&amp;$J1224,SorP!C:C,0))))</f>
        <v/>
      </c>
      <c r="U1224" s="168"/>
      <c r="V1224" s="169" t="e">
        <f>IF(C1224="",NA(),MATCH($B1224&amp;$C1224,'Smelter Look-up'!$J:$J,0))</f>
        <v>#N/A</v>
      </c>
      <c r="X1224" s="170">
        <f t="shared" ca="1" si="98"/>
        <v>0</v>
      </c>
      <c r="AB1224" s="313" t="str">
        <f t="shared" si="100"/>
        <v/>
      </c>
      <c r="AC1224" s="170" t="str">
        <f t="shared" si="101"/>
        <v/>
      </c>
      <c r="AD1224" s="170" t="str">
        <f t="shared" si="102"/>
        <v/>
      </c>
    </row>
    <row r="1225" spans="1:30" s="170" customFormat="1" ht="20.399999999999999">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99"/>
        <v/>
      </c>
      <c r="T1225" s="155" t="str">
        <f ca="1">IF(B1225="","",IF(ISERROR(MATCH($J1225,SorP!$B$1:$B$6226,0)),"",INDIRECT("'SorP'!$A$"&amp;MATCH($S1225&amp;$J1225,SorP!C:C,0))))</f>
        <v/>
      </c>
      <c r="U1225" s="168"/>
      <c r="V1225" s="169" t="e">
        <f>IF(C1225="",NA(),MATCH($B1225&amp;$C1225,'Smelter Look-up'!$J:$J,0))</f>
        <v>#N/A</v>
      </c>
      <c r="X1225" s="170">
        <f t="shared" ca="1" si="98"/>
        <v>0</v>
      </c>
      <c r="AB1225" s="313" t="str">
        <f t="shared" si="100"/>
        <v/>
      </c>
      <c r="AC1225" s="170" t="str">
        <f t="shared" si="101"/>
        <v/>
      </c>
      <c r="AD1225" s="170" t="str">
        <f t="shared" si="102"/>
        <v/>
      </c>
    </row>
    <row r="1226" spans="1:30" s="170" customFormat="1" ht="20.399999999999999">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99"/>
        <v/>
      </c>
      <c r="T1226" s="155" t="str">
        <f ca="1">IF(B1226="","",IF(ISERROR(MATCH($J1226,SorP!$B$1:$B$6226,0)),"",INDIRECT("'SorP'!$A$"&amp;MATCH($S1226&amp;$J1226,SorP!C:C,0))))</f>
        <v/>
      </c>
      <c r="U1226" s="168"/>
      <c r="V1226" s="169" t="e">
        <f>IF(C1226="",NA(),MATCH($B1226&amp;$C1226,'Smelter Look-up'!$J:$J,0))</f>
        <v>#N/A</v>
      </c>
      <c r="X1226" s="170">
        <f t="shared" ca="1" si="98"/>
        <v>0</v>
      </c>
      <c r="AB1226" s="313" t="str">
        <f t="shared" si="100"/>
        <v/>
      </c>
      <c r="AC1226" s="170" t="str">
        <f t="shared" si="101"/>
        <v/>
      </c>
      <c r="AD1226" s="170" t="str">
        <f t="shared" si="102"/>
        <v/>
      </c>
    </row>
    <row r="1227" spans="1:30" s="170" customFormat="1" ht="20.399999999999999">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99"/>
        <v/>
      </c>
      <c r="T1227" s="155" t="str">
        <f ca="1">IF(B1227="","",IF(ISERROR(MATCH($J1227,SorP!$B$1:$B$6226,0)),"",INDIRECT("'SorP'!$A$"&amp;MATCH($S1227&amp;$J1227,SorP!C:C,0))))</f>
        <v/>
      </c>
      <c r="U1227" s="168"/>
      <c r="V1227" s="169" t="e">
        <f>IF(C1227="",NA(),MATCH($B1227&amp;$C1227,'Smelter Look-up'!$J:$J,0))</f>
        <v>#N/A</v>
      </c>
      <c r="X1227" s="170">
        <f t="shared" ca="1" si="98"/>
        <v>0</v>
      </c>
      <c r="AB1227" s="313" t="str">
        <f t="shared" si="100"/>
        <v/>
      </c>
      <c r="AC1227" s="170" t="str">
        <f t="shared" si="101"/>
        <v/>
      </c>
      <c r="AD1227" s="170" t="str">
        <f t="shared" si="102"/>
        <v/>
      </c>
    </row>
    <row r="1228" spans="1:30" s="170" customFormat="1" ht="20.399999999999999">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99"/>
        <v/>
      </c>
      <c r="T1228" s="155" t="str">
        <f ca="1">IF(B1228="","",IF(ISERROR(MATCH($J1228,SorP!$B$1:$B$6226,0)),"",INDIRECT("'SorP'!$A$"&amp;MATCH($S1228&amp;$J1228,SorP!C:C,0))))</f>
        <v/>
      </c>
      <c r="U1228" s="168"/>
      <c r="V1228" s="169" t="e">
        <f>IF(C1228="",NA(),MATCH($B1228&amp;$C1228,'Smelter Look-up'!$J:$J,0))</f>
        <v>#N/A</v>
      </c>
      <c r="X1228" s="170">
        <f t="shared" ca="1" si="98"/>
        <v>0</v>
      </c>
      <c r="AB1228" s="313" t="str">
        <f t="shared" si="100"/>
        <v/>
      </c>
      <c r="AC1228" s="170" t="str">
        <f t="shared" si="101"/>
        <v/>
      </c>
      <c r="AD1228" s="170" t="str">
        <f t="shared" si="102"/>
        <v/>
      </c>
    </row>
    <row r="1229" spans="1:30" s="170" customFormat="1" ht="20.399999999999999">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99"/>
        <v/>
      </c>
      <c r="T1229" s="155" t="str">
        <f ca="1">IF(B1229="","",IF(ISERROR(MATCH($J1229,SorP!$B$1:$B$6226,0)),"",INDIRECT("'SorP'!$A$"&amp;MATCH($S1229&amp;$J1229,SorP!C:C,0))))</f>
        <v/>
      </c>
      <c r="U1229" s="168"/>
      <c r="V1229" s="169" t="e">
        <f>IF(C1229="",NA(),MATCH($B1229&amp;$C1229,'Smelter Look-up'!$J:$J,0))</f>
        <v>#N/A</v>
      </c>
      <c r="X1229" s="170">
        <f t="shared" ca="1" si="98"/>
        <v>0</v>
      </c>
      <c r="AB1229" s="313" t="str">
        <f t="shared" si="100"/>
        <v/>
      </c>
      <c r="AC1229" s="170" t="str">
        <f t="shared" si="101"/>
        <v/>
      </c>
      <c r="AD1229" s="170" t="str">
        <f t="shared" si="102"/>
        <v/>
      </c>
    </row>
    <row r="1230" spans="1:30" s="170" customFormat="1" ht="20.399999999999999">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99"/>
        <v/>
      </c>
      <c r="T1230" s="155" t="str">
        <f ca="1">IF(B1230="","",IF(ISERROR(MATCH($J1230,SorP!$B$1:$B$6226,0)),"",INDIRECT("'SorP'!$A$"&amp;MATCH($S1230&amp;$J1230,SorP!C:C,0))))</f>
        <v/>
      </c>
      <c r="U1230" s="168"/>
      <c r="V1230" s="169" t="e">
        <f>IF(C1230="",NA(),MATCH($B1230&amp;$C1230,'Smelter Look-up'!$J:$J,0))</f>
        <v>#N/A</v>
      </c>
      <c r="X1230" s="170">
        <f t="shared" ca="1" si="98"/>
        <v>0</v>
      </c>
      <c r="AB1230" s="313" t="str">
        <f t="shared" si="100"/>
        <v/>
      </c>
      <c r="AC1230" s="170" t="str">
        <f t="shared" si="101"/>
        <v/>
      </c>
      <c r="AD1230" s="170" t="str">
        <f t="shared" si="102"/>
        <v/>
      </c>
    </row>
    <row r="1231" spans="1:30" s="170" customFormat="1" ht="20.399999999999999">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99"/>
        <v/>
      </c>
      <c r="T1231" s="155" t="str">
        <f ca="1">IF(B1231="","",IF(ISERROR(MATCH($J1231,SorP!$B$1:$B$6226,0)),"",INDIRECT("'SorP'!$A$"&amp;MATCH($S1231&amp;$J1231,SorP!C:C,0))))</f>
        <v/>
      </c>
      <c r="U1231" s="168"/>
      <c r="V1231" s="169" t="e">
        <f>IF(C1231="",NA(),MATCH($B1231&amp;$C1231,'Smelter Look-up'!$J:$J,0))</f>
        <v>#N/A</v>
      </c>
      <c r="X1231" s="170">
        <f t="shared" ca="1" si="98"/>
        <v>0</v>
      </c>
      <c r="AB1231" s="313" t="str">
        <f t="shared" si="100"/>
        <v/>
      </c>
      <c r="AC1231" s="170" t="str">
        <f t="shared" si="101"/>
        <v/>
      </c>
      <c r="AD1231" s="170" t="str">
        <f t="shared" si="102"/>
        <v/>
      </c>
    </row>
    <row r="1232" spans="1:30" s="170" customFormat="1" ht="20.399999999999999">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99"/>
        <v/>
      </c>
      <c r="T1232" s="155" t="str">
        <f ca="1">IF(B1232="","",IF(ISERROR(MATCH($J1232,SorP!$B$1:$B$6226,0)),"",INDIRECT("'SorP'!$A$"&amp;MATCH($S1232&amp;$J1232,SorP!C:C,0))))</f>
        <v/>
      </c>
      <c r="U1232" s="168"/>
      <c r="V1232" s="169" t="e">
        <f>IF(C1232="",NA(),MATCH($B1232&amp;$C1232,'Smelter Look-up'!$J:$J,0))</f>
        <v>#N/A</v>
      </c>
      <c r="X1232" s="170">
        <f t="shared" ca="1" si="98"/>
        <v>0</v>
      </c>
      <c r="AB1232" s="313" t="str">
        <f t="shared" si="100"/>
        <v/>
      </c>
      <c r="AC1232" s="170" t="str">
        <f t="shared" si="101"/>
        <v/>
      </c>
      <c r="AD1232" s="170" t="str">
        <f t="shared" si="102"/>
        <v/>
      </c>
    </row>
    <row r="1233" spans="1:30" s="170" customFormat="1" ht="20.399999999999999">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99"/>
        <v/>
      </c>
      <c r="T1233" s="155" t="str">
        <f ca="1">IF(B1233="","",IF(ISERROR(MATCH($J1233,SorP!$B$1:$B$6226,0)),"",INDIRECT("'SorP'!$A$"&amp;MATCH($S1233&amp;$J1233,SorP!C:C,0))))</f>
        <v/>
      </c>
      <c r="U1233" s="168"/>
      <c r="V1233" s="169" t="e">
        <f>IF(C1233="",NA(),MATCH($B1233&amp;$C1233,'Smelter Look-up'!$J:$J,0))</f>
        <v>#N/A</v>
      </c>
      <c r="X1233" s="170">
        <f t="shared" ca="1" si="98"/>
        <v>0</v>
      </c>
      <c r="AB1233" s="313" t="str">
        <f t="shared" si="100"/>
        <v/>
      </c>
      <c r="AC1233" s="170" t="str">
        <f t="shared" si="101"/>
        <v/>
      </c>
      <c r="AD1233" s="170" t="str">
        <f t="shared" si="102"/>
        <v/>
      </c>
    </row>
    <row r="1234" spans="1:30" s="170" customFormat="1" ht="20.399999999999999">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99"/>
        <v/>
      </c>
      <c r="T1234" s="155" t="str">
        <f ca="1">IF(B1234="","",IF(ISERROR(MATCH($J1234,SorP!$B$1:$B$6226,0)),"",INDIRECT("'SorP'!$A$"&amp;MATCH($S1234&amp;$J1234,SorP!C:C,0))))</f>
        <v/>
      </c>
      <c r="U1234" s="168"/>
      <c r="V1234" s="169" t="e">
        <f>IF(C1234="",NA(),MATCH($B1234&amp;$C1234,'Smelter Look-up'!$J:$J,0))</f>
        <v>#N/A</v>
      </c>
      <c r="X1234" s="170">
        <f t="shared" ca="1" si="98"/>
        <v>0</v>
      </c>
      <c r="AB1234" s="313" t="str">
        <f t="shared" si="100"/>
        <v/>
      </c>
      <c r="AC1234" s="170" t="str">
        <f t="shared" si="101"/>
        <v/>
      </c>
      <c r="AD1234" s="170" t="str">
        <f t="shared" si="102"/>
        <v/>
      </c>
    </row>
    <row r="1235" spans="1:30" s="170" customFormat="1" ht="20.399999999999999">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99"/>
        <v/>
      </c>
      <c r="T1235" s="155" t="str">
        <f ca="1">IF(B1235="","",IF(ISERROR(MATCH($J1235,SorP!$B$1:$B$6226,0)),"",INDIRECT("'SorP'!$A$"&amp;MATCH($S1235&amp;$J1235,SorP!C:C,0))))</f>
        <v/>
      </c>
      <c r="U1235" s="168"/>
      <c r="V1235" s="169" t="e">
        <f>IF(C1235="",NA(),MATCH($B1235&amp;$C1235,'Smelter Look-up'!$J:$J,0))</f>
        <v>#N/A</v>
      </c>
      <c r="X1235" s="170">
        <f t="shared" ca="1" si="98"/>
        <v>0</v>
      </c>
      <c r="AB1235" s="313" t="str">
        <f t="shared" si="100"/>
        <v/>
      </c>
      <c r="AC1235" s="170" t="str">
        <f t="shared" si="101"/>
        <v/>
      </c>
      <c r="AD1235" s="170" t="str">
        <f t="shared" si="102"/>
        <v/>
      </c>
    </row>
    <row r="1236" spans="1:30" s="170" customFormat="1" ht="20.399999999999999">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99"/>
        <v/>
      </c>
      <c r="T1236" s="155" t="str">
        <f ca="1">IF(B1236="","",IF(ISERROR(MATCH($J1236,SorP!$B$1:$B$6226,0)),"",INDIRECT("'SorP'!$A$"&amp;MATCH($S1236&amp;$J1236,SorP!C:C,0))))</f>
        <v/>
      </c>
      <c r="U1236" s="168"/>
      <c r="V1236" s="169" t="e">
        <f>IF(C1236="",NA(),MATCH($B1236&amp;$C1236,'Smelter Look-up'!$J:$J,0))</f>
        <v>#N/A</v>
      </c>
      <c r="X1236" s="170">
        <f t="shared" ca="1" si="98"/>
        <v>0</v>
      </c>
      <c r="AB1236" s="313" t="str">
        <f t="shared" si="100"/>
        <v/>
      </c>
      <c r="AC1236" s="170" t="str">
        <f t="shared" si="101"/>
        <v/>
      </c>
      <c r="AD1236" s="170" t="str">
        <f t="shared" si="102"/>
        <v/>
      </c>
    </row>
    <row r="1237" spans="1:30" s="170" customFormat="1" ht="20.399999999999999">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99"/>
        <v/>
      </c>
      <c r="T1237" s="155" t="str">
        <f ca="1">IF(B1237="","",IF(ISERROR(MATCH($J1237,SorP!$B$1:$B$6226,0)),"",INDIRECT("'SorP'!$A$"&amp;MATCH($S1237&amp;$J1237,SorP!C:C,0))))</f>
        <v/>
      </c>
      <c r="U1237" s="168"/>
      <c r="V1237" s="169" t="e">
        <f>IF(C1237="",NA(),MATCH($B1237&amp;$C1237,'Smelter Look-up'!$J:$J,0))</f>
        <v>#N/A</v>
      </c>
      <c r="X1237" s="170">
        <f t="shared" ca="1" si="98"/>
        <v>0</v>
      </c>
      <c r="AB1237" s="313" t="str">
        <f t="shared" si="100"/>
        <v/>
      </c>
      <c r="AC1237" s="170" t="str">
        <f t="shared" si="101"/>
        <v/>
      </c>
      <c r="AD1237" s="170" t="str">
        <f t="shared" si="102"/>
        <v/>
      </c>
    </row>
    <row r="1238" spans="1:30" s="170" customFormat="1" ht="20.399999999999999">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99"/>
        <v/>
      </c>
      <c r="T1238" s="155" t="str">
        <f ca="1">IF(B1238="","",IF(ISERROR(MATCH($J1238,SorP!$B$1:$B$6226,0)),"",INDIRECT("'SorP'!$A$"&amp;MATCH($S1238&amp;$J1238,SorP!C:C,0))))</f>
        <v/>
      </c>
      <c r="U1238" s="168"/>
      <c r="V1238" s="169" t="e">
        <f>IF(C1238="",NA(),MATCH($B1238&amp;$C1238,'Smelter Look-up'!$J:$J,0))</f>
        <v>#N/A</v>
      </c>
      <c r="X1238" s="170">
        <f t="shared" ca="1" si="98"/>
        <v>0</v>
      </c>
      <c r="AB1238" s="313" t="str">
        <f t="shared" si="100"/>
        <v/>
      </c>
      <c r="AC1238" s="170" t="str">
        <f t="shared" si="101"/>
        <v/>
      </c>
      <c r="AD1238" s="170" t="str">
        <f t="shared" si="102"/>
        <v/>
      </c>
    </row>
    <row r="1239" spans="1:30" s="170" customFormat="1" ht="20.399999999999999">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99"/>
        <v/>
      </c>
      <c r="T1239" s="155" t="str">
        <f ca="1">IF(B1239="","",IF(ISERROR(MATCH($J1239,SorP!$B$1:$B$6226,0)),"",INDIRECT("'SorP'!$A$"&amp;MATCH($S1239&amp;$J1239,SorP!C:C,0))))</f>
        <v/>
      </c>
      <c r="U1239" s="168"/>
      <c r="V1239" s="169" t="e">
        <f>IF(C1239="",NA(),MATCH($B1239&amp;$C1239,'Smelter Look-up'!$J:$J,0))</f>
        <v>#N/A</v>
      </c>
      <c r="X1239" s="170">
        <f t="shared" ca="1" si="98"/>
        <v>0</v>
      </c>
      <c r="AB1239" s="313" t="str">
        <f t="shared" si="100"/>
        <v/>
      </c>
      <c r="AC1239" s="170" t="str">
        <f t="shared" si="101"/>
        <v/>
      </c>
      <c r="AD1239" s="170" t="str">
        <f t="shared" si="102"/>
        <v/>
      </c>
    </row>
    <row r="1240" spans="1:30" s="170" customFormat="1" ht="20.399999999999999">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99"/>
        <v/>
      </c>
      <c r="T1240" s="155" t="str">
        <f ca="1">IF(B1240="","",IF(ISERROR(MATCH($J1240,SorP!$B$1:$B$6226,0)),"",INDIRECT("'SorP'!$A$"&amp;MATCH($S1240&amp;$J1240,SorP!C:C,0))))</f>
        <v/>
      </c>
      <c r="U1240" s="168"/>
      <c r="V1240" s="169" t="e">
        <f>IF(C1240="",NA(),MATCH($B1240&amp;$C1240,'Smelter Look-up'!$J:$J,0))</f>
        <v>#N/A</v>
      </c>
      <c r="X1240" s="170">
        <f t="shared" ca="1" si="98"/>
        <v>0</v>
      </c>
      <c r="AB1240" s="313" t="str">
        <f t="shared" si="100"/>
        <v/>
      </c>
      <c r="AC1240" s="170" t="str">
        <f t="shared" si="101"/>
        <v/>
      </c>
      <c r="AD1240" s="170" t="str">
        <f t="shared" si="102"/>
        <v/>
      </c>
    </row>
    <row r="1241" spans="1:30" s="170" customFormat="1" ht="20.399999999999999">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99"/>
        <v/>
      </c>
      <c r="T1241" s="155" t="str">
        <f ca="1">IF(B1241="","",IF(ISERROR(MATCH($J1241,SorP!$B$1:$B$6226,0)),"",INDIRECT("'SorP'!$A$"&amp;MATCH($S1241&amp;$J1241,SorP!C:C,0))))</f>
        <v/>
      </c>
      <c r="U1241" s="168"/>
      <c r="V1241" s="169" t="e">
        <f>IF(C1241="",NA(),MATCH($B1241&amp;$C1241,'Smelter Look-up'!$J:$J,0))</f>
        <v>#N/A</v>
      </c>
      <c r="X1241" s="170">
        <f t="shared" ca="1" si="98"/>
        <v>0</v>
      </c>
      <c r="AB1241" s="313" t="str">
        <f t="shared" si="100"/>
        <v/>
      </c>
      <c r="AC1241" s="170" t="str">
        <f t="shared" si="101"/>
        <v/>
      </c>
      <c r="AD1241" s="170" t="str">
        <f t="shared" si="102"/>
        <v/>
      </c>
    </row>
    <row r="1242" spans="1:30" s="170" customFormat="1" ht="20.399999999999999">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99"/>
        <v/>
      </c>
      <c r="T1242" s="155" t="str">
        <f ca="1">IF(B1242="","",IF(ISERROR(MATCH($J1242,SorP!$B$1:$B$6226,0)),"",INDIRECT("'SorP'!$A$"&amp;MATCH($S1242&amp;$J1242,SorP!C:C,0))))</f>
        <v/>
      </c>
      <c r="U1242" s="168"/>
      <c r="V1242" s="169" t="e">
        <f>IF(C1242="",NA(),MATCH($B1242&amp;$C1242,'Smelter Look-up'!$J:$J,0))</f>
        <v>#N/A</v>
      </c>
      <c r="X1242" s="170">
        <f t="shared" ca="1" si="98"/>
        <v>0</v>
      </c>
      <c r="AB1242" s="313" t="str">
        <f t="shared" si="100"/>
        <v/>
      </c>
      <c r="AC1242" s="170" t="str">
        <f t="shared" si="101"/>
        <v/>
      </c>
      <c r="AD1242" s="170" t="str">
        <f t="shared" si="102"/>
        <v/>
      </c>
    </row>
    <row r="1243" spans="1:30" s="170" customFormat="1" ht="20.399999999999999">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99"/>
        <v/>
      </c>
      <c r="T1243" s="155" t="str">
        <f ca="1">IF(B1243="","",IF(ISERROR(MATCH($J1243,SorP!$B$1:$B$6226,0)),"",INDIRECT("'SorP'!$A$"&amp;MATCH($S1243&amp;$J1243,SorP!C:C,0))))</f>
        <v/>
      </c>
      <c r="U1243" s="168"/>
      <c r="V1243" s="169" t="e">
        <f>IF(C1243="",NA(),MATCH($B1243&amp;$C1243,'Smelter Look-up'!$J:$J,0))</f>
        <v>#N/A</v>
      </c>
      <c r="X1243" s="170">
        <f t="shared" ca="1" si="98"/>
        <v>0</v>
      </c>
      <c r="AB1243" s="313" t="str">
        <f t="shared" si="100"/>
        <v/>
      </c>
      <c r="AC1243" s="170" t="str">
        <f t="shared" si="101"/>
        <v/>
      </c>
      <c r="AD1243" s="170" t="str">
        <f t="shared" si="102"/>
        <v/>
      </c>
    </row>
    <row r="1244" spans="1:30" s="170" customFormat="1" ht="20.399999999999999">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99"/>
        <v/>
      </c>
      <c r="T1244" s="155" t="str">
        <f ca="1">IF(B1244="","",IF(ISERROR(MATCH($J1244,SorP!$B$1:$B$6226,0)),"",INDIRECT("'SorP'!$A$"&amp;MATCH($S1244&amp;$J1244,SorP!C:C,0))))</f>
        <v/>
      </c>
      <c r="U1244" s="168"/>
      <c r="V1244" s="169" t="e">
        <f>IF(C1244="",NA(),MATCH($B1244&amp;$C1244,'Smelter Look-up'!$J:$J,0))</f>
        <v>#N/A</v>
      </c>
      <c r="X1244" s="170">
        <f t="shared" ca="1" si="98"/>
        <v>0</v>
      </c>
      <c r="AB1244" s="313" t="str">
        <f t="shared" si="100"/>
        <v/>
      </c>
      <c r="AC1244" s="170" t="str">
        <f t="shared" si="101"/>
        <v/>
      </c>
      <c r="AD1244" s="170" t="str">
        <f t="shared" si="102"/>
        <v/>
      </c>
    </row>
    <row r="1245" spans="1:30" s="170" customFormat="1" ht="20.399999999999999">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99"/>
        <v/>
      </c>
      <c r="T1245" s="155" t="str">
        <f ca="1">IF(B1245="","",IF(ISERROR(MATCH($J1245,SorP!$B$1:$B$6226,0)),"",INDIRECT("'SorP'!$A$"&amp;MATCH($S1245&amp;$J1245,SorP!C:C,0))))</f>
        <v/>
      </c>
      <c r="U1245" s="168"/>
      <c r="V1245" s="169" t="e">
        <f>IF(C1245="",NA(),MATCH($B1245&amp;$C1245,'Smelter Look-up'!$J:$J,0))</f>
        <v>#N/A</v>
      </c>
      <c r="X1245" s="170">
        <f t="shared" ca="1" si="98"/>
        <v>0</v>
      </c>
      <c r="AB1245" s="313" t="str">
        <f t="shared" si="100"/>
        <v/>
      </c>
      <c r="AC1245" s="170" t="str">
        <f t="shared" si="101"/>
        <v/>
      </c>
      <c r="AD1245" s="170" t="str">
        <f t="shared" si="102"/>
        <v/>
      </c>
    </row>
    <row r="1246" spans="1:30" s="170" customFormat="1" ht="20.399999999999999">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99"/>
        <v/>
      </c>
      <c r="T1246" s="155" t="str">
        <f ca="1">IF(B1246="","",IF(ISERROR(MATCH($J1246,SorP!$B$1:$B$6226,0)),"",INDIRECT("'SorP'!$A$"&amp;MATCH($S1246&amp;$J1246,SorP!C:C,0))))</f>
        <v/>
      </c>
      <c r="U1246" s="168"/>
      <c r="V1246" s="169" t="e">
        <f>IF(C1246="",NA(),MATCH($B1246&amp;$C1246,'Smelter Look-up'!$J:$J,0))</f>
        <v>#N/A</v>
      </c>
      <c r="X1246" s="170">
        <f t="shared" ca="1" si="98"/>
        <v>0</v>
      </c>
      <c r="AB1246" s="313" t="str">
        <f t="shared" si="100"/>
        <v/>
      </c>
      <c r="AC1246" s="170" t="str">
        <f t="shared" si="101"/>
        <v/>
      </c>
      <c r="AD1246" s="170" t="str">
        <f t="shared" si="102"/>
        <v/>
      </c>
    </row>
    <row r="1247" spans="1:30" s="170" customFormat="1" ht="20.399999999999999">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99"/>
        <v/>
      </c>
      <c r="T1247" s="155" t="str">
        <f ca="1">IF(B1247="","",IF(ISERROR(MATCH($J1247,SorP!$B$1:$B$6226,0)),"",INDIRECT("'SorP'!$A$"&amp;MATCH($S1247&amp;$J1247,SorP!C:C,0))))</f>
        <v/>
      </c>
      <c r="U1247" s="168"/>
      <c r="V1247" s="169" t="e">
        <f>IF(C1247="",NA(),MATCH($B1247&amp;$C1247,'Smelter Look-up'!$J:$J,0))</f>
        <v>#N/A</v>
      </c>
      <c r="X1247" s="170">
        <f t="shared" ca="1" si="98"/>
        <v>0</v>
      </c>
      <c r="AB1247" s="313" t="str">
        <f t="shared" si="100"/>
        <v/>
      </c>
      <c r="AC1247" s="170" t="str">
        <f t="shared" si="101"/>
        <v/>
      </c>
      <c r="AD1247" s="170" t="str">
        <f t="shared" si="102"/>
        <v/>
      </c>
    </row>
    <row r="1248" spans="1:30" s="170" customFormat="1" ht="20.399999999999999">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99"/>
        <v/>
      </c>
      <c r="T1248" s="155" t="str">
        <f ca="1">IF(B1248="","",IF(ISERROR(MATCH($J1248,SorP!$B$1:$B$6226,0)),"",INDIRECT("'SorP'!$A$"&amp;MATCH($S1248&amp;$J1248,SorP!C:C,0))))</f>
        <v/>
      </c>
      <c r="U1248" s="168"/>
      <c r="V1248" s="169" t="e">
        <f>IF(C1248="",NA(),MATCH($B1248&amp;$C1248,'Smelter Look-up'!$J:$J,0))</f>
        <v>#N/A</v>
      </c>
      <c r="X1248" s="170">
        <f t="shared" ca="1" si="98"/>
        <v>0</v>
      </c>
      <c r="AB1248" s="313" t="str">
        <f t="shared" si="100"/>
        <v/>
      </c>
      <c r="AC1248" s="170" t="str">
        <f t="shared" si="101"/>
        <v/>
      </c>
      <c r="AD1248" s="170" t="str">
        <f t="shared" si="102"/>
        <v/>
      </c>
    </row>
    <row r="1249" spans="1:30" s="170" customFormat="1" ht="20.399999999999999">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99"/>
        <v/>
      </c>
      <c r="T1249" s="155" t="str">
        <f ca="1">IF(B1249="","",IF(ISERROR(MATCH($J1249,SorP!$B$1:$B$6226,0)),"",INDIRECT("'SorP'!$A$"&amp;MATCH($S1249&amp;$J1249,SorP!C:C,0))))</f>
        <v/>
      </c>
      <c r="U1249" s="168"/>
      <c r="V1249" s="169" t="e">
        <f>IF(C1249="",NA(),MATCH($B1249&amp;$C1249,'Smelter Look-up'!$J:$J,0))</f>
        <v>#N/A</v>
      </c>
      <c r="X1249" s="170">
        <f t="shared" ca="1" si="98"/>
        <v>0</v>
      </c>
      <c r="AB1249" s="313" t="str">
        <f t="shared" si="100"/>
        <v/>
      </c>
      <c r="AC1249" s="170" t="str">
        <f t="shared" si="101"/>
        <v/>
      </c>
      <c r="AD1249" s="170" t="str">
        <f t="shared" si="102"/>
        <v/>
      </c>
    </row>
    <row r="1250" spans="1:30" s="170" customFormat="1" ht="20.399999999999999">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99"/>
        <v/>
      </c>
      <c r="T1250" s="155" t="str">
        <f ca="1">IF(B1250="","",IF(ISERROR(MATCH($J1250,SorP!$B$1:$B$6226,0)),"",INDIRECT("'SorP'!$A$"&amp;MATCH($S1250&amp;$J1250,SorP!C:C,0))))</f>
        <v/>
      </c>
      <c r="U1250" s="168"/>
      <c r="V1250" s="169" t="e">
        <f>IF(C1250="",NA(),MATCH($B1250&amp;$C1250,'Smelter Look-up'!$J:$J,0))</f>
        <v>#N/A</v>
      </c>
      <c r="X1250" s="170">
        <f t="shared" ca="1" si="98"/>
        <v>0</v>
      </c>
      <c r="AB1250" s="313" t="str">
        <f t="shared" si="100"/>
        <v/>
      </c>
      <c r="AC1250" s="170" t="str">
        <f t="shared" si="101"/>
        <v/>
      </c>
      <c r="AD1250" s="170" t="str">
        <f t="shared" si="102"/>
        <v/>
      </c>
    </row>
    <row r="1251" spans="1:30" s="170" customFormat="1" ht="20.399999999999999">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99"/>
        <v/>
      </c>
      <c r="T1251" s="155" t="str">
        <f ca="1">IF(B1251="","",IF(ISERROR(MATCH($J1251,SorP!$B$1:$B$6226,0)),"",INDIRECT("'SorP'!$A$"&amp;MATCH($S1251&amp;$J1251,SorP!C:C,0))))</f>
        <v/>
      </c>
      <c r="U1251" s="168"/>
      <c r="V1251" s="169" t="e">
        <f>IF(C1251="",NA(),MATCH($B1251&amp;$C1251,'Smelter Look-up'!$J:$J,0))</f>
        <v>#N/A</v>
      </c>
      <c r="X1251" s="170">
        <f t="shared" ca="1" si="98"/>
        <v>0</v>
      </c>
      <c r="AB1251" s="313" t="str">
        <f t="shared" si="100"/>
        <v/>
      </c>
      <c r="AC1251" s="170" t="str">
        <f t="shared" si="101"/>
        <v/>
      </c>
      <c r="AD1251" s="170" t="str">
        <f t="shared" si="102"/>
        <v/>
      </c>
    </row>
    <row r="1252" spans="1:30" s="170" customFormat="1" ht="20.399999999999999">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99"/>
        <v/>
      </c>
      <c r="T1252" s="155" t="str">
        <f ca="1">IF(B1252="","",IF(ISERROR(MATCH($J1252,SorP!$B$1:$B$6226,0)),"",INDIRECT("'SorP'!$A$"&amp;MATCH($S1252&amp;$J1252,SorP!C:C,0))))</f>
        <v/>
      </c>
      <c r="U1252" s="168"/>
      <c r="V1252" s="169" t="e">
        <f>IF(C1252="",NA(),MATCH($B1252&amp;$C1252,'Smelter Look-up'!$J:$J,0))</f>
        <v>#N/A</v>
      </c>
      <c r="X1252" s="170">
        <f t="shared" ca="1" si="98"/>
        <v>0</v>
      </c>
      <c r="AB1252" s="313" t="str">
        <f t="shared" si="100"/>
        <v/>
      </c>
      <c r="AC1252" s="170" t="str">
        <f t="shared" si="101"/>
        <v/>
      </c>
      <c r="AD1252" s="170" t="str">
        <f t="shared" si="102"/>
        <v/>
      </c>
    </row>
    <row r="1253" spans="1:30" s="170" customFormat="1" ht="20.399999999999999">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99"/>
        <v/>
      </c>
      <c r="T1253" s="155" t="str">
        <f ca="1">IF(B1253="","",IF(ISERROR(MATCH($J1253,SorP!$B$1:$B$6226,0)),"",INDIRECT("'SorP'!$A$"&amp;MATCH($S1253&amp;$J1253,SorP!C:C,0))))</f>
        <v/>
      </c>
      <c r="U1253" s="168"/>
      <c r="V1253" s="169" t="e">
        <f>IF(C1253="",NA(),MATCH($B1253&amp;$C1253,'Smelter Look-up'!$J:$J,0))</f>
        <v>#N/A</v>
      </c>
      <c r="X1253" s="170">
        <f t="shared" ca="1" si="98"/>
        <v>0</v>
      </c>
      <c r="AB1253" s="313" t="str">
        <f t="shared" si="100"/>
        <v/>
      </c>
      <c r="AC1253" s="170" t="str">
        <f t="shared" si="101"/>
        <v/>
      </c>
      <c r="AD1253" s="170" t="str">
        <f t="shared" si="102"/>
        <v/>
      </c>
    </row>
    <row r="1254" spans="1:30" s="170" customFormat="1" ht="20.399999999999999">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99"/>
        <v/>
      </c>
      <c r="T1254" s="155" t="str">
        <f ca="1">IF(B1254="","",IF(ISERROR(MATCH($J1254,SorP!$B$1:$B$6226,0)),"",INDIRECT("'SorP'!$A$"&amp;MATCH($S1254&amp;$J1254,SorP!C:C,0))))</f>
        <v/>
      </c>
      <c r="U1254" s="168"/>
      <c r="V1254" s="169" t="e">
        <f>IF(C1254="",NA(),MATCH($B1254&amp;$C1254,'Smelter Look-up'!$J:$J,0))</f>
        <v>#N/A</v>
      </c>
      <c r="X1254" s="170">
        <f t="shared" ca="1" si="98"/>
        <v>0</v>
      </c>
      <c r="AB1254" s="313" t="str">
        <f t="shared" si="100"/>
        <v/>
      </c>
      <c r="AC1254" s="170" t="str">
        <f t="shared" si="101"/>
        <v/>
      </c>
      <c r="AD1254" s="170" t="str">
        <f t="shared" si="102"/>
        <v/>
      </c>
    </row>
    <row r="1255" spans="1:30" s="170" customFormat="1" ht="20.399999999999999">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99"/>
        <v/>
      </c>
      <c r="T1255" s="155" t="str">
        <f ca="1">IF(B1255="","",IF(ISERROR(MATCH($J1255,SorP!$B$1:$B$6226,0)),"",INDIRECT("'SorP'!$A$"&amp;MATCH($S1255&amp;$J1255,SorP!C:C,0))))</f>
        <v/>
      </c>
      <c r="U1255" s="168"/>
      <c r="V1255" s="169" t="e">
        <f>IF(C1255="",NA(),MATCH($B1255&amp;$C1255,'Smelter Look-up'!$J:$J,0))</f>
        <v>#N/A</v>
      </c>
      <c r="X1255" s="170">
        <f t="shared" ca="1" si="98"/>
        <v>0</v>
      </c>
      <c r="AB1255" s="313" t="str">
        <f t="shared" si="100"/>
        <v/>
      </c>
      <c r="AC1255" s="170" t="str">
        <f t="shared" si="101"/>
        <v/>
      </c>
      <c r="AD1255" s="170" t="str">
        <f t="shared" si="102"/>
        <v/>
      </c>
    </row>
    <row r="1256" spans="1:30" s="170" customFormat="1" ht="20.399999999999999">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99"/>
        <v/>
      </c>
      <c r="T1256" s="155" t="str">
        <f ca="1">IF(B1256="","",IF(ISERROR(MATCH($J1256,SorP!$B$1:$B$6226,0)),"",INDIRECT("'SorP'!$A$"&amp;MATCH($S1256&amp;$J1256,SorP!C:C,0))))</f>
        <v/>
      </c>
      <c r="U1256" s="168"/>
      <c r="V1256" s="169" t="e">
        <f>IF(C1256="",NA(),MATCH($B1256&amp;$C1256,'Smelter Look-up'!$J:$J,0))</f>
        <v>#N/A</v>
      </c>
      <c r="X1256" s="170">
        <f t="shared" ca="1" si="98"/>
        <v>0</v>
      </c>
      <c r="AB1256" s="313" t="str">
        <f t="shared" si="100"/>
        <v/>
      </c>
      <c r="AC1256" s="170" t="str">
        <f t="shared" si="101"/>
        <v/>
      </c>
      <c r="AD1256" s="170" t="str">
        <f t="shared" si="102"/>
        <v/>
      </c>
    </row>
    <row r="1257" spans="1:30" s="170" customFormat="1" ht="20.399999999999999">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99"/>
        <v/>
      </c>
      <c r="T1257" s="155" t="str">
        <f ca="1">IF(B1257="","",IF(ISERROR(MATCH($J1257,SorP!$B$1:$B$6226,0)),"",INDIRECT("'SorP'!$A$"&amp;MATCH($S1257&amp;$J1257,SorP!C:C,0))))</f>
        <v/>
      </c>
      <c r="U1257" s="168"/>
      <c r="V1257" s="169" t="e">
        <f>IF(C1257="",NA(),MATCH($B1257&amp;$C1257,'Smelter Look-up'!$J:$J,0))</f>
        <v>#N/A</v>
      </c>
      <c r="X1257" s="170">
        <f t="shared" ca="1" si="98"/>
        <v>0</v>
      </c>
      <c r="AB1257" s="313" t="str">
        <f t="shared" si="100"/>
        <v/>
      </c>
      <c r="AC1257" s="170" t="str">
        <f t="shared" si="101"/>
        <v/>
      </c>
      <c r="AD1257" s="170" t="str">
        <f t="shared" si="102"/>
        <v/>
      </c>
    </row>
    <row r="1258" spans="1:30" s="170" customFormat="1" ht="20.399999999999999">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99"/>
        <v/>
      </c>
      <c r="T1258" s="155" t="str">
        <f ca="1">IF(B1258="","",IF(ISERROR(MATCH($J1258,SorP!$B$1:$B$6226,0)),"",INDIRECT("'SorP'!$A$"&amp;MATCH($S1258&amp;$J1258,SorP!C:C,0))))</f>
        <v/>
      </c>
      <c r="U1258" s="168"/>
      <c r="V1258" s="169" t="e">
        <f>IF(C1258="",NA(),MATCH($B1258&amp;$C1258,'Smelter Look-up'!$J:$J,0))</f>
        <v>#N/A</v>
      </c>
      <c r="X1258" s="170">
        <f t="shared" ca="1" si="98"/>
        <v>0</v>
      </c>
      <c r="AB1258" s="313" t="str">
        <f t="shared" si="100"/>
        <v/>
      </c>
      <c r="AC1258" s="170" t="str">
        <f t="shared" si="101"/>
        <v/>
      </c>
      <c r="AD1258" s="170" t="str">
        <f t="shared" si="102"/>
        <v/>
      </c>
    </row>
    <row r="1259" spans="1:30" s="170" customFormat="1" ht="20.399999999999999">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99"/>
        <v/>
      </c>
      <c r="T1259" s="155" t="str">
        <f ca="1">IF(B1259="","",IF(ISERROR(MATCH($J1259,SorP!$B$1:$B$6226,0)),"",INDIRECT("'SorP'!$A$"&amp;MATCH($S1259&amp;$J1259,SorP!C:C,0))))</f>
        <v/>
      </c>
      <c r="U1259" s="168"/>
      <c r="V1259" s="169" t="e">
        <f>IF(C1259="",NA(),MATCH($B1259&amp;$C1259,'Smelter Look-up'!$J:$J,0))</f>
        <v>#N/A</v>
      </c>
      <c r="X1259" s="170">
        <f t="shared" ca="1" si="98"/>
        <v>0</v>
      </c>
      <c r="AB1259" s="313" t="str">
        <f t="shared" si="100"/>
        <v/>
      </c>
      <c r="AC1259" s="170" t="str">
        <f t="shared" si="101"/>
        <v/>
      </c>
      <c r="AD1259" s="170" t="str">
        <f t="shared" si="102"/>
        <v/>
      </c>
    </row>
    <row r="1260" spans="1:30" s="170" customFormat="1" ht="20.399999999999999">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99"/>
        <v/>
      </c>
      <c r="T1260" s="155" t="str">
        <f ca="1">IF(B1260="","",IF(ISERROR(MATCH($J1260,SorP!$B$1:$B$6226,0)),"",INDIRECT("'SorP'!$A$"&amp;MATCH($S1260&amp;$J1260,SorP!C:C,0))))</f>
        <v/>
      </c>
      <c r="U1260" s="168"/>
      <c r="V1260" s="169" t="e">
        <f>IF(C1260="",NA(),MATCH($B1260&amp;$C1260,'Smelter Look-up'!$J:$J,0))</f>
        <v>#N/A</v>
      </c>
      <c r="X1260" s="170">
        <f t="shared" ca="1" si="98"/>
        <v>0</v>
      </c>
      <c r="AB1260" s="313" t="str">
        <f t="shared" si="100"/>
        <v/>
      </c>
      <c r="AC1260" s="170" t="str">
        <f t="shared" si="101"/>
        <v/>
      </c>
      <c r="AD1260" s="170" t="str">
        <f t="shared" si="102"/>
        <v/>
      </c>
    </row>
    <row r="1261" spans="1:30" s="170" customFormat="1" ht="20.399999999999999">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99"/>
        <v/>
      </c>
      <c r="T1261" s="155" t="str">
        <f ca="1">IF(B1261="","",IF(ISERROR(MATCH($J1261,SorP!$B$1:$B$6226,0)),"",INDIRECT("'SorP'!$A$"&amp;MATCH($S1261&amp;$J1261,SorP!C:C,0))))</f>
        <v/>
      </c>
      <c r="U1261" s="168"/>
      <c r="V1261" s="169" t="e">
        <f>IF(C1261="",NA(),MATCH($B1261&amp;$C1261,'Smelter Look-up'!$J:$J,0))</f>
        <v>#N/A</v>
      </c>
      <c r="X1261" s="170">
        <f t="shared" ca="1" si="98"/>
        <v>0</v>
      </c>
      <c r="AB1261" s="313" t="str">
        <f t="shared" si="100"/>
        <v/>
      </c>
      <c r="AC1261" s="170" t="str">
        <f t="shared" si="101"/>
        <v/>
      </c>
      <c r="AD1261" s="170" t="str">
        <f t="shared" si="102"/>
        <v/>
      </c>
    </row>
    <row r="1262" spans="1:30" s="170" customFormat="1" ht="20.399999999999999">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99"/>
        <v/>
      </c>
      <c r="T1262" s="155" t="str">
        <f ca="1">IF(B1262="","",IF(ISERROR(MATCH($J1262,SorP!$B$1:$B$6226,0)),"",INDIRECT("'SorP'!$A$"&amp;MATCH($S1262&amp;$J1262,SorP!C:C,0))))</f>
        <v/>
      </c>
      <c r="U1262" s="168"/>
      <c r="V1262" s="169" t="e">
        <f>IF(C1262="",NA(),MATCH($B1262&amp;$C1262,'Smelter Look-up'!$J:$J,0))</f>
        <v>#N/A</v>
      </c>
      <c r="X1262" s="170">
        <f t="shared" ca="1" si="98"/>
        <v>0</v>
      </c>
      <c r="AB1262" s="313" t="str">
        <f t="shared" si="100"/>
        <v/>
      </c>
      <c r="AC1262" s="170" t="str">
        <f t="shared" si="101"/>
        <v/>
      </c>
      <c r="AD1262" s="170" t="str">
        <f t="shared" si="102"/>
        <v/>
      </c>
    </row>
    <row r="1263" spans="1:30" s="170" customFormat="1" ht="20.399999999999999">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99"/>
        <v/>
      </c>
      <c r="T1263" s="155" t="str">
        <f ca="1">IF(B1263="","",IF(ISERROR(MATCH($J1263,SorP!$B$1:$B$6226,0)),"",INDIRECT("'SorP'!$A$"&amp;MATCH($S1263&amp;$J1263,SorP!C:C,0))))</f>
        <v/>
      </c>
      <c r="U1263" s="168"/>
      <c r="V1263" s="169" t="e">
        <f>IF(C1263="",NA(),MATCH($B1263&amp;$C1263,'Smelter Look-up'!$J:$J,0))</f>
        <v>#N/A</v>
      </c>
      <c r="X1263" s="170">
        <f t="shared" ca="1" si="98"/>
        <v>0</v>
      </c>
      <c r="AB1263" s="313" t="str">
        <f t="shared" si="100"/>
        <v/>
      </c>
      <c r="AC1263" s="170" t="str">
        <f t="shared" si="101"/>
        <v/>
      </c>
      <c r="AD1263" s="170" t="str">
        <f t="shared" si="102"/>
        <v/>
      </c>
    </row>
    <row r="1264" spans="1:30" s="170" customFormat="1" ht="20.399999999999999">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99"/>
        <v/>
      </c>
      <c r="T1264" s="155" t="str">
        <f ca="1">IF(B1264="","",IF(ISERROR(MATCH($J1264,SorP!$B$1:$B$6226,0)),"",INDIRECT("'SorP'!$A$"&amp;MATCH($S1264&amp;$J1264,SorP!C:C,0))))</f>
        <v/>
      </c>
      <c r="U1264" s="168"/>
      <c r="V1264" s="169" t="e">
        <f>IF(C1264="",NA(),MATCH($B1264&amp;$C1264,'Smelter Look-up'!$J:$J,0))</f>
        <v>#N/A</v>
      </c>
      <c r="X1264" s="170">
        <f t="shared" ca="1" si="98"/>
        <v>0</v>
      </c>
      <c r="AB1264" s="313" t="str">
        <f t="shared" si="100"/>
        <v/>
      </c>
      <c r="AC1264" s="170" t="str">
        <f t="shared" si="101"/>
        <v/>
      </c>
      <c r="AD1264" s="170" t="str">
        <f t="shared" si="102"/>
        <v/>
      </c>
    </row>
    <row r="1265" spans="1:30" s="170" customFormat="1" ht="20.399999999999999">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99"/>
        <v/>
      </c>
      <c r="T1265" s="155" t="str">
        <f ca="1">IF(B1265="","",IF(ISERROR(MATCH($J1265,SorP!$B$1:$B$6226,0)),"",INDIRECT("'SorP'!$A$"&amp;MATCH($S1265&amp;$J1265,SorP!C:C,0))))</f>
        <v/>
      </c>
      <c r="U1265" s="168"/>
      <c r="V1265" s="169" t="e">
        <f>IF(C1265="",NA(),MATCH($B1265&amp;$C1265,'Smelter Look-up'!$J:$J,0))</f>
        <v>#N/A</v>
      </c>
      <c r="X1265" s="170">
        <f t="shared" ca="1" si="98"/>
        <v>0</v>
      </c>
      <c r="AB1265" s="313" t="str">
        <f t="shared" si="100"/>
        <v/>
      </c>
      <c r="AC1265" s="170" t="str">
        <f t="shared" si="101"/>
        <v/>
      </c>
      <c r="AD1265" s="170" t="str">
        <f t="shared" si="102"/>
        <v/>
      </c>
    </row>
    <row r="1266" spans="1:30" s="170" customFormat="1" ht="20.399999999999999">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99"/>
        <v/>
      </c>
      <c r="T1266" s="155" t="str">
        <f ca="1">IF(B1266="","",IF(ISERROR(MATCH($J1266,SorP!$B$1:$B$6226,0)),"",INDIRECT("'SorP'!$A$"&amp;MATCH($S1266&amp;$J1266,SorP!C:C,0))))</f>
        <v/>
      </c>
      <c r="U1266" s="168"/>
      <c r="V1266" s="169" t="e">
        <f>IF(C1266="",NA(),MATCH($B1266&amp;$C1266,'Smelter Look-up'!$J:$J,0))</f>
        <v>#N/A</v>
      </c>
      <c r="X1266" s="170">
        <f t="shared" ca="1" si="98"/>
        <v>0</v>
      </c>
      <c r="AB1266" s="313" t="str">
        <f t="shared" si="100"/>
        <v/>
      </c>
      <c r="AC1266" s="170" t="str">
        <f t="shared" si="101"/>
        <v/>
      </c>
      <c r="AD1266" s="170" t="str">
        <f t="shared" si="102"/>
        <v/>
      </c>
    </row>
    <row r="1267" spans="1:30" s="170" customFormat="1" ht="20.399999999999999">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99"/>
        <v/>
      </c>
      <c r="T1267" s="155" t="str">
        <f ca="1">IF(B1267="","",IF(ISERROR(MATCH($J1267,SorP!$B$1:$B$6226,0)),"",INDIRECT("'SorP'!$A$"&amp;MATCH($S1267&amp;$J1267,SorP!C:C,0))))</f>
        <v/>
      </c>
      <c r="U1267" s="168"/>
      <c r="V1267" s="169" t="e">
        <f>IF(C1267="",NA(),MATCH($B1267&amp;$C1267,'Smelter Look-up'!$J:$J,0))</f>
        <v>#N/A</v>
      </c>
      <c r="X1267" s="170">
        <f t="shared" ca="1" si="98"/>
        <v>0</v>
      </c>
      <c r="AB1267" s="313" t="str">
        <f t="shared" si="100"/>
        <v/>
      </c>
      <c r="AC1267" s="170" t="str">
        <f t="shared" si="101"/>
        <v/>
      </c>
      <c r="AD1267" s="170" t="str">
        <f t="shared" si="102"/>
        <v/>
      </c>
    </row>
    <row r="1268" spans="1:30" s="170" customFormat="1" ht="20.399999999999999">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99"/>
        <v/>
      </c>
      <c r="T1268" s="155" t="str">
        <f ca="1">IF(B1268="","",IF(ISERROR(MATCH($J1268,SorP!$B$1:$B$6226,0)),"",INDIRECT("'SorP'!$A$"&amp;MATCH($S1268&amp;$J1268,SorP!C:C,0))))</f>
        <v/>
      </c>
      <c r="U1268" s="168"/>
      <c r="V1268" s="169" t="e">
        <f>IF(C1268="",NA(),MATCH($B1268&amp;$C1268,'Smelter Look-up'!$J:$J,0))</f>
        <v>#N/A</v>
      </c>
      <c r="X1268" s="170">
        <f t="shared" ca="1" si="98"/>
        <v>0</v>
      </c>
      <c r="AB1268" s="313" t="str">
        <f t="shared" si="100"/>
        <v/>
      </c>
      <c r="AC1268" s="170" t="str">
        <f t="shared" si="101"/>
        <v/>
      </c>
      <c r="AD1268" s="170" t="str">
        <f t="shared" si="102"/>
        <v/>
      </c>
    </row>
    <row r="1269" spans="1:30" s="170" customFormat="1" ht="20.399999999999999">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99"/>
        <v/>
      </c>
      <c r="T1269" s="155" t="str">
        <f ca="1">IF(B1269="","",IF(ISERROR(MATCH($J1269,SorP!$B$1:$B$6226,0)),"",INDIRECT("'SorP'!$A$"&amp;MATCH($S1269&amp;$J1269,SorP!C:C,0))))</f>
        <v/>
      </c>
      <c r="U1269" s="168"/>
      <c r="V1269" s="169" t="e">
        <f>IF(C1269="",NA(),MATCH($B1269&amp;$C1269,'Smelter Look-up'!$J:$J,0))</f>
        <v>#N/A</v>
      </c>
      <c r="X1269" s="170">
        <f t="shared" ca="1" si="98"/>
        <v>0</v>
      </c>
      <c r="AB1269" s="313" t="str">
        <f t="shared" si="100"/>
        <v/>
      </c>
      <c r="AC1269" s="170" t="str">
        <f t="shared" si="101"/>
        <v/>
      </c>
      <c r="AD1269" s="170" t="str">
        <f t="shared" si="102"/>
        <v/>
      </c>
    </row>
    <row r="1270" spans="1:30" s="170" customFormat="1" ht="20.399999999999999">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99"/>
        <v/>
      </c>
      <c r="T1270" s="155" t="str">
        <f ca="1">IF(B1270="","",IF(ISERROR(MATCH($J1270,SorP!$B$1:$B$6226,0)),"",INDIRECT("'SorP'!$A$"&amp;MATCH($S1270&amp;$J1270,SorP!C:C,0))))</f>
        <v/>
      </c>
      <c r="U1270" s="168"/>
      <c r="V1270" s="169" t="e">
        <f>IF(C1270="",NA(),MATCH($B1270&amp;$C1270,'Smelter Look-up'!$J:$J,0))</f>
        <v>#N/A</v>
      </c>
      <c r="X1270" s="170">
        <f t="shared" ca="1" si="98"/>
        <v>0</v>
      </c>
      <c r="AB1270" s="313" t="str">
        <f t="shared" si="100"/>
        <v/>
      </c>
      <c r="AC1270" s="170" t="str">
        <f t="shared" si="101"/>
        <v/>
      </c>
      <c r="AD1270" s="170" t="str">
        <f t="shared" si="102"/>
        <v/>
      </c>
    </row>
    <row r="1271" spans="1:30" s="170" customFormat="1" ht="20.399999999999999">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99"/>
        <v/>
      </c>
      <c r="T1271" s="155" t="str">
        <f ca="1">IF(B1271="","",IF(ISERROR(MATCH($J1271,SorP!$B$1:$B$6226,0)),"",INDIRECT("'SorP'!$A$"&amp;MATCH($S1271&amp;$J1271,SorP!C:C,0))))</f>
        <v/>
      </c>
      <c r="U1271" s="168"/>
      <c r="V1271" s="169" t="e">
        <f>IF(C1271="",NA(),MATCH($B1271&amp;$C1271,'Smelter Look-up'!$J:$J,0))</f>
        <v>#N/A</v>
      </c>
      <c r="X1271" s="170">
        <f t="shared" ca="1" si="98"/>
        <v>0</v>
      </c>
      <c r="AB1271" s="313" t="str">
        <f t="shared" si="100"/>
        <v/>
      </c>
      <c r="AC1271" s="170" t="str">
        <f t="shared" si="101"/>
        <v/>
      </c>
      <c r="AD1271" s="170" t="str">
        <f t="shared" si="102"/>
        <v/>
      </c>
    </row>
    <row r="1272" spans="1:30" s="170" customFormat="1" ht="20.399999999999999">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99"/>
        <v/>
      </c>
      <c r="T1272" s="155" t="str">
        <f ca="1">IF(B1272="","",IF(ISERROR(MATCH($J1272,SorP!$B$1:$B$6226,0)),"",INDIRECT("'SorP'!$A$"&amp;MATCH($S1272&amp;$J1272,SorP!C:C,0))))</f>
        <v/>
      </c>
      <c r="U1272" s="168"/>
      <c r="V1272" s="169" t="e">
        <f>IF(C1272="",NA(),MATCH($B1272&amp;$C1272,'Smelter Look-up'!$J:$J,0))</f>
        <v>#N/A</v>
      </c>
      <c r="X1272" s="170">
        <f t="shared" ca="1" si="98"/>
        <v>0</v>
      </c>
      <c r="AB1272" s="313" t="str">
        <f t="shared" si="100"/>
        <v/>
      </c>
      <c r="AC1272" s="170" t="str">
        <f t="shared" si="101"/>
        <v/>
      </c>
      <c r="AD1272" s="170" t="str">
        <f t="shared" si="102"/>
        <v/>
      </c>
    </row>
    <row r="1273" spans="1:30" s="170" customFormat="1" ht="20.399999999999999">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99"/>
        <v/>
      </c>
      <c r="T1273" s="155" t="str">
        <f ca="1">IF(B1273="","",IF(ISERROR(MATCH($J1273,SorP!$B$1:$B$6226,0)),"",INDIRECT("'SorP'!$A$"&amp;MATCH($S1273&amp;$J1273,SorP!C:C,0))))</f>
        <v/>
      </c>
      <c r="U1273" s="168"/>
      <c r="V1273" s="169" t="e">
        <f>IF(C1273="",NA(),MATCH($B1273&amp;$C1273,'Smelter Look-up'!$J:$J,0))</f>
        <v>#N/A</v>
      </c>
      <c r="X1273" s="170">
        <f t="shared" ca="1" si="98"/>
        <v>0</v>
      </c>
      <c r="AB1273" s="313" t="str">
        <f t="shared" si="100"/>
        <v/>
      </c>
      <c r="AC1273" s="170" t="str">
        <f t="shared" si="101"/>
        <v/>
      </c>
      <c r="AD1273" s="170" t="str">
        <f t="shared" si="102"/>
        <v/>
      </c>
    </row>
    <row r="1274" spans="1:30" s="170" customFormat="1" ht="20.399999999999999">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99"/>
        <v/>
      </c>
      <c r="T1274" s="155" t="str">
        <f ca="1">IF(B1274="","",IF(ISERROR(MATCH($J1274,SorP!$B$1:$B$6226,0)),"",INDIRECT("'SorP'!$A$"&amp;MATCH($S1274&amp;$J1274,SorP!C:C,0))))</f>
        <v/>
      </c>
      <c r="U1274" s="168"/>
      <c r="V1274" s="169" t="e">
        <f>IF(C1274="",NA(),MATCH($B1274&amp;$C1274,'Smelter Look-up'!$J:$J,0))</f>
        <v>#N/A</v>
      </c>
      <c r="X1274" s="170">
        <f t="shared" ca="1" si="98"/>
        <v>0</v>
      </c>
      <c r="AB1274" s="313" t="str">
        <f t="shared" si="100"/>
        <v/>
      </c>
      <c r="AC1274" s="170" t="str">
        <f t="shared" si="101"/>
        <v/>
      </c>
      <c r="AD1274" s="170" t="str">
        <f t="shared" si="102"/>
        <v/>
      </c>
    </row>
    <row r="1275" spans="1:30" s="170" customFormat="1" ht="20.399999999999999">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99"/>
        <v/>
      </c>
      <c r="T1275" s="155" t="str">
        <f ca="1">IF(B1275="","",IF(ISERROR(MATCH($J1275,SorP!$B$1:$B$6226,0)),"",INDIRECT("'SorP'!$A$"&amp;MATCH($S1275&amp;$J1275,SorP!C:C,0))))</f>
        <v/>
      </c>
      <c r="U1275" s="168"/>
      <c r="V1275" s="169" t="e">
        <f>IF(C1275="",NA(),MATCH($B1275&amp;$C1275,'Smelter Look-up'!$J:$J,0))</f>
        <v>#N/A</v>
      </c>
      <c r="X1275" s="170">
        <f t="shared" ca="1" si="98"/>
        <v>0</v>
      </c>
      <c r="AB1275" s="313" t="str">
        <f t="shared" si="100"/>
        <v/>
      </c>
      <c r="AC1275" s="170" t="str">
        <f t="shared" si="101"/>
        <v/>
      </c>
      <c r="AD1275" s="170" t="str">
        <f t="shared" si="102"/>
        <v/>
      </c>
    </row>
    <row r="1276" spans="1:30" s="170" customFormat="1" ht="20.399999999999999">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99"/>
        <v/>
      </c>
      <c r="T1276" s="155" t="str">
        <f ca="1">IF(B1276="","",IF(ISERROR(MATCH($J1276,SorP!$B$1:$B$6226,0)),"",INDIRECT("'SorP'!$A$"&amp;MATCH($S1276&amp;$J1276,SorP!C:C,0))))</f>
        <v/>
      </c>
      <c r="U1276" s="168"/>
      <c r="V1276" s="169" t="e">
        <f>IF(C1276="",NA(),MATCH($B1276&amp;$C1276,'Smelter Look-up'!$J:$J,0))</f>
        <v>#N/A</v>
      </c>
      <c r="X1276" s="170">
        <f t="shared" ca="1" si="98"/>
        <v>0</v>
      </c>
      <c r="AB1276" s="313" t="str">
        <f t="shared" si="100"/>
        <v/>
      </c>
      <c r="AC1276" s="170" t="str">
        <f t="shared" si="101"/>
        <v/>
      </c>
      <c r="AD1276" s="170" t="str">
        <f t="shared" si="102"/>
        <v/>
      </c>
    </row>
    <row r="1277" spans="1:30" s="170" customFormat="1" ht="20.399999999999999">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99"/>
        <v/>
      </c>
      <c r="T1277" s="155" t="str">
        <f ca="1">IF(B1277="","",IF(ISERROR(MATCH($J1277,SorP!$B$1:$B$6226,0)),"",INDIRECT("'SorP'!$A$"&amp;MATCH($S1277&amp;$J1277,SorP!C:C,0))))</f>
        <v/>
      </c>
      <c r="U1277" s="168"/>
      <c r="V1277" s="169" t="e">
        <f>IF(C1277="",NA(),MATCH($B1277&amp;$C1277,'Smelter Look-up'!$J:$J,0))</f>
        <v>#N/A</v>
      </c>
      <c r="X1277" s="170">
        <f t="shared" ca="1" si="98"/>
        <v>0</v>
      </c>
      <c r="AB1277" s="313" t="str">
        <f t="shared" si="100"/>
        <v/>
      </c>
      <c r="AC1277" s="170" t="str">
        <f t="shared" si="101"/>
        <v/>
      </c>
      <c r="AD1277" s="170" t="str">
        <f t="shared" si="102"/>
        <v/>
      </c>
    </row>
    <row r="1278" spans="1:30" s="170" customFormat="1" ht="20.399999999999999">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99"/>
        <v/>
      </c>
      <c r="T1278" s="155" t="str">
        <f ca="1">IF(B1278="","",IF(ISERROR(MATCH($J1278,SorP!$B$1:$B$6226,0)),"",INDIRECT("'SorP'!$A$"&amp;MATCH($S1278&amp;$J1278,SorP!C:C,0))))</f>
        <v/>
      </c>
      <c r="U1278" s="168"/>
      <c r="V1278" s="169" t="e">
        <f>IF(C1278="",NA(),MATCH($B1278&amp;$C1278,'Smelter Look-up'!$J:$J,0))</f>
        <v>#N/A</v>
      </c>
      <c r="X1278" s="170">
        <f t="shared" ca="1" si="98"/>
        <v>0</v>
      </c>
      <c r="AB1278" s="313" t="str">
        <f t="shared" si="100"/>
        <v/>
      </c>
      <c r="AC1278" s="170" t="str">
        <f t="shared" si="101"/>
        <v/>
      </c>
      <c r="AD1278" s="170" t="str">
        <f t="shared" si="102"/>
        <v/>
      </c>
    </row>
    <row r="1279" spans="1:30" s="170" customFormat="1" ht="20.399999999999999">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99"/>
        <v/>
      </c>
      <c r="T1279" s="155" t="str">
        <f ca="1">IF(B1279="","",IF(ISERROR(MATCH($J1279,SorP!$B$1:$B$6226,0)),"",INDIRECT("'SorP'!$A$"&amp;MATCH($S1279&amp;$J1279,SorP!C:C,0))))</f>
        <v/>
      </c>
      <c r="U1279" s="168"/>
      <c r="V1279" s="169" t="e">
        <f>IF(C1279="",NA(),MATCH($B1279&amp;$C1279,'Smelter Look-up'!$J:$J,0))</f>
        <v>#N/A</v>
      </c>
      <c r="X1279" s="170">
        <f t="shared" ref="X1279:X1342" ca="1" si="103">IF(AND(C1279="Smelter not listed",OR(LEN(D1279)=0,LEN(E1279)=0)),1,0)</f>
        <v>0</v>
      </c>
      <c r="AB1279" s="313" t="str">
        <f t="shared" si="100"/>
        <v/>
      </c>
      <c r="AC1279" s="170" t="str">
        <f t="shared" si="101"/>
        <v/>
      </c>
      <c r="AD1279" s="170" t="str">
        <f t="shared" si="102"/>
        <v/>
      </c>
    </row>
    <row r="1280" spans="1:30" s="170" customFormat="1" ht="20.399999999999999">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ref="S1280:S1343" ca="1" si="10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103"/>
        <v>0</v>
      </c>
      <c r="AB1280" s="313" t="str">
        <f t="shared" si="100"/>
        <v/>
      </c>
      <c r="AC1280" s="170" t="str">
        <f t="shared" si="101"/>
        <v/>
      </c>
      <c r="AD1280" s="170" t="str">
        <f t="shared" si="102"/>
        <v/>
      </c>
    </row>
    <row r="1281" spans="1:30" s="170" customFormat="1" ht="20.399999999999999">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104"/>
        <v/>
      </c>
      <c r="T1281" s="155" t="str">
        <f ca="1">IF(B1281="","",IF(ISERROR(MATCH($J1281,SorP!$B$1:$B$6226,0)),"",INDIRECT("'SorP'!$A$"&amp;MATCH($S1281&amp;$J1281,SorP!C:C,0))))</f>
        <v/>
      </c>
      <c r="U1281" s="168"/>
      <c r="V1281" s="169" t="e">
        <f>IF(C1281="",NA(),MATCH($B1281&amp;$C1281,'Smelter Look-up'!$J:$J,0))</f>
        <v>#N/A</v>
      </c>
      <c r="X1281" s="170">
        <f t="shared" ca="1" si="103"/>
        <v>0</v>
      </c>
      <c r="AB1281" s="313" t="str">
        <f t="shared" si="100"/>
        <v/>
      </c>
      <c r="AC1281" s="170" t="str">
        <f t="shared" si="101"/>
        <v/>
      </c>
      <c r="AD1281" s="170" t="str">
        <f t="shared" si="102"/>
        <v/>
      </c>
    </row>
    <row r="1282" spans="1:30" s="170" customFormat="1" ht="20.399999999999999">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104"/>
        <v/>
      </c>
      <c r="T1282" s="155" t="str">
        <f ca="1">IF(B1282="","",IF(ISERROR(MATCH($J1282,SorP!$B$1:$B$6226,0)),"",INDIRECT("'SorP'!$A$"&amp;MATCH($S1282&amp;$J1282,SorP!C:C,0))))</f>
        <v/>
      </c>
      <c r="U1282" s="168"/>
      <c r="V1282" s="169" t="e">
        <f>IF(C1282="",NA(),MATCH($B1282&amp;$C1282,'Smelter Look-up'!$J:$J,0))</f>
        <v>#N/A</v>
      </c>
      <c r="X1282" s="170">
        <f t="shared" ca="1" si="103"/>
        <v>0</v>
      </c>
      <c r="AB1282" s="313" t="str">
        <f t="shared" si="100"/>
        <v/>
      </c>
      <c r="AC1282" s="170" t="str">
        <f t="shared" si="101"/>
        <v/>
      </c>
      <c r="AD1282" s="170" t="str">
        <f t="shared" si="102"/>
        <v/>
      </c>
    </row>
    <row r="1283" spans="1:30" s="170" customFormat="1" ht="20.399999999999999">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104"/>
        <v/>
      </c>
      <c r="T1283" s="155" t="str">
        <f ca="1">IF(B1283="","",IF(ISERROR(MATCH($J1283,SorP!$B$1:$B$6226,0)),"",INDIRECT("'SorP'!$A$"&amp;MATCH($S1283&amp;$J1283,SorP!C:C,0))))</f>
        <v/>
      </c>
      <c r="U1283" s="168"/>
      <c r="V1283" s="169" t="e">
        <f>IF(C1283="",NA(),MATCH($B1283&amp;$C1283,'Smelter Look-up'!$J:$J,0))</f>
        <v>#N/A</v>
      </c>
      <c r="X1283" s="170">
        <f t="shared" ca="1" si="103"/>
        <v>0</v>
      </c>
      <c r="AB1283" s="313" t="str">
        <f t="shared" si="100"/>
        <v/>
      </c>
      <c r="AC1283" s="170" t="str">
        <f t="shared" si="101"/>
        <v/>
      </c>
      <c r="AD1283" s="170" t="str">
        <f t="shared" si="102"/>
        <v/>
      </c>
    </row>
    <row r="1284" spans="1:30" s="170" customFormat="1" ht="20.399999999999999">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104"/>
        <v/>
      </c>
      <c r="T1284" s="155" t="str">
        <f ca="1">IF(B1284="","",IF(ISERROR(MATCH($J1284,SorP!$B$1:$B$6226,0)),"",INDIRECT("'SorP'!$A$"&amp;MATCH($S1284&amp;$J1284,SorP!C:C,0))))</f>
        <v/>
      </c>
      <c r="U1284" s="168"/>
      <c r="V1284" s="169" t="e">
        <f>IF(C1284="",NA(),MATCH($B1284&amp;$C1284,'Smelter Look-up'!$J:$J,0))</f>
        <v>#N/A</v>
      </c>
      <c r="X1284" s="170">
        <f t="shared" ca="1" si="103"/>
        <v>0</v>
      </c>
      <c r="AB1284" s="313" t="str">
        <f t="shared" si="100"/>
        <v/>
      </c>
      <c r="AC1284" s="170" t="str">
        <f t="shared" si="101"/>
        <v/>
      </c>
      <c r="AD1284" s="170" t="str">
        <f t="shared" si="102"/>
        <v/>
      </c>
    </row>
    <row r="1285" spans="1:30" s="170" customFormat="1" ht="20.399999999999999">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104"/>
        <v/>
      </c>
      <c r="T1285" s="155" t="str">
        <f ca="1">IF(B1285="","",IF(ISERROR(MATCH($J1285,SorP!$B$1:$B$6226,0)),"",INDIRECT("'SorP'!$A$"&amp;MATCH($S1285&amp;$J1285,SorP!C:C,0))))</f>
        <v/>
      </c>
      <c r="U1285" s="168"/>
      <c r="V1285" s="169" t="e">
        <f>IF(C1285="",NA(),MATCH($B1285&amp;$C1285,'Smelter Look-up'!$J:$J,0))</f>
        <v>#N/A</v>
      </c>
      <c r="X1285" s="170">
        <f t="shared" ca="1" si="103"/>
        <v>0</v>
      </c>
      <c r="AB1285" s="313" t="str">
        <f t="shared" si="100"/>
        <v/>
      </c>
      <c r="AC1285" s="170" t="str">
        <f t="shared" si="101"/>
        <v/>
      </c>
      <c r="AD1285" s="170" t="str">
        <f t="shared" si="102"/>
        <v/>
      </c>
    </row>
    <row r="1286" spans="1:30" s="170" customFormat="1" ht="20.399999999999999">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104"/>
        <v/>
      </c>
      <c r="T1286" s="155" t="str">
        <f ca="1">IF(B1286="","",IF(ISERROR(MATCH($J1286,SorP!$B$1:$B$6226,0)),"",INDIRECT("'SorP'!$A$"&amp;MATCH($S1286&amp;$J1286,SorP!C:C,0))))</f>
        <v/>
      </c>
      <c r="U1286" s="168"/>
      <c r="V1286" s="169" t="e">
        <f>IF(C1286="",NA(),MATCH($B1286&amp;$C1286,'Smelter Look-up'!$J:$J,0))</f>
        <v>#N/A</v>
      </c>
      <c r="X1286" s="170">
        <f t="shared" ca="1" si="103"/>
        <v>0</v>
      </c>
      <c r="AB1286" s="313" t="str">
        <f t="shared" ref="AB1286:AB1349" si="105">IF(C1286="","",B1286)</f>
        <v/>
      </c>
      <c r="AC1286" s="170" t="str">
        <f t="shared" ref="AC1286:AC1349" si="106">B1286</f>
        <v/>
      </c>
      <c r="AD1286" s="170" t="str">
        <f t="shared" ref="AD1286:AD1349" si="107">IF(C1286="Smelter not listed",D1286,C1286)</f>
        <v/>
      </c>
    </row>
    <row r="1287" spans="1:30" s="170" customFormat="1" ht="20.399999999999999">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104"/>
        <v/>
      </c>
      <c r="T1287" s="155" t="str">
        <f ca="1">IF(B1287="","",IF(ISERROR(MATCH($J1287,SorP!$B$1:$B$6226,0)),"",INDIRECT("'SorP'!$A$"&amp;MATCH($S1287&amp;$J1287,SorP!C:C,0))))</f>
        <v/>
      </c>
      <c r="U1287" s="168"/>
      <c r="V1287" s="169" t="e">
        <f>IF(C1287="",NA(),MATCH($B1287&amp;$C1287,'Smelter Look-up'!$J:$J,0))</f>
        <v>#N/A</v>
      </c>
      <c r="X1287" s="170">
        <f t="shared" ca="1" si="103"/>
        <v>0</v>
      </c>
      <c r="AB1287" s="313" t="str">
        <f t="shared" si="105"/>
        <v/>
      </c>
      <c r="AC1287" s="170" t="str">
        <f t="shared" si="106"/>
        <v/>
      </c>
      <c r="AD1287" s="170" t="str">
        <f t="shared" si="107"/>
        <v/>
      </c>
    </row>
    <row r="1288" spans="1:30" s="170" customFormat="1" ht="20.399999999999999">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104"/>
        <v/>
      </c>
      <c r="T1288" s="155" t="str">
        <f ca="1">IF(B1288="","",IF(ISERROR(MATCH($J1288,SorP!$B$1:$B$6226,0)),"",INDIRECT("'SorP'!$A$"&amp;MATCH($S1288&amp;$J1288,SorP!C:C,0))))</f>
        <v/>
      </c>
      <c r="U1288" s="168"/>
      <c r="V1288" s="169" t="e">
        <f>IF(C1288="",NA(),MATCH($B1288&amp;$C1288,'Smelter Look-up'!$J:$J,0))</f>
        <v>#N/A</v>
      </c>
      <c r="X1288" s="170">
        <f t="shared" ca="1" si="103"/>
        <v>0</v>
      </c>
      <c r="AB1288" s="313" t="str">
        <f t="shared" si="105"/>
        <v/>
      </c>
      <c r="AC1288" s="170" t="str">
        <f t="shared" si="106"/>
        <v/>
      </c>
      <c r="AD1288" s="170" t="str">
        <f t="shared" si="107"/>
        <v/>
      </c>
    </row>
    <row r="1289" spans="1:30" s="170" customFormat="1" ht="20.399999999999999">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104"/>
        <v/>
      </c>
      <c r="T1289" s="155" t="str">
        <f ca="1">IF(B1289="","",IF(ISERROR(MATCH($J1289,SorP!$B$1:$B$6226,0)),"",INDIRECT("'SorP'!$A$"&amp;MATCH($S1289&amp;$J1289,SorP!C:C,0))))</f>
        <v/>
      </c>
      <c r="U1289" s="168"/>
      <c r="V1289" s="169" t="e">
        <f>IF(C1289="",NA(),MATCH($B1289&amp;$C1289,'Smelter Look-up'!$J:$J,0))</f>
        <v>#N/A</v>
      </c>
      <c r="X1289" s="170">
        <f t="shared" ca="1" si="103"/>
        <v>0</v>
      </c>
      <c r="AB1289" s="313" t="str">
        <f t="shared" si="105"/>
        <v/>
      </c>
      <c r="AC1289" s="170" t="str">
        <f t="shared" si="106"/>
        <v/>
      </c>
      <c r="AD1289" s="170" t="str">
        <f t="shared" si="107"/>
        <v/>
      </c>
    </row>
    <row r="1290" spans="1:30" s="170" customFormat="1" ht="20.399999999999999">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104"/>
        <v/>
      </c>
      <c r="T1290" s="155" t="str">
        <f ca="1">IF(B1290="","",IF(ISERROR(MATCH($J1290,SorP!$B$1:$B$6226,0)),"",INDIRECT("'SorP'!$A$"&amp;MATCH($S1290&amp;$J1290,SorP!C:C,0))))</f>
        <v/>
      </c>
      <c r="U1290" s="168"/>
      <c r="V1290" s="169" t="e">
        <f>IF(C1290="",NA(),MATCH($B1290&amp;$C1290,'Smelter Look-up'!$J:$J,0))</f>
        <v>#N/A</v>
      </c>
      <c r="X1290" s="170">
        <f t="shared" ca="1" si="103"/>
        <v>0</v>
      </c>
      <c r="AB1290" s="313" t="str">
        <f t="shared" si="105"/>
        <v/>
      </c>
      <c r="AC1290" s="170" t="str">
        <f t="shared" si="106"/>
        <v/>
      </c>
      <c r="AD1290" s="170" t="str">
        <f t="shared" si="107"/>
        <v/>
      </c>
    </row>
    <row r="1291" spans="1:30" s="170" customFormat="1" ht="20.399999999999999">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104"/>
        <v/>
      </c>
      <c r="T1291" s="155" t="str">
        <f ca="1">IF(B1291="","",IF(ISERROR(MATCH($J1291,SorP!$B$1:$B$6226,0)),"",INDIRECT("'SorP'!$A$"&amp;MATCH($S1291&amp;$J1291,SorP!C:C,0))))</f>
        <v/>
      </c>
      <c r="U1291" s="168"/>
      <c r="V1291" s="169" t="e">
        <f>IF(C1291="",NA(),MATCH($B1291&amp;$C1291,'Smelter Look-up'!$J:$J,0))</f>
        <v>#N/A</v>
      </c>
      <c r="X1291" s="170">
        <f t="shared" ca="1" si="103"/>
        <v>0</v>
      </c>
      <c r="AB1291" s="313" t="str">
        <f t="shared" si="105"/>
        <v/>
      </c>
      <c r="AC1291" s="170" t="str">
        <f t="shared" si="106"/>
        <v/>
      </c>
      <c r="AD1291" s="170" t="str">
        <f t="shared" si="107"/>
        <v/>
      </c>
    </row>
    <row r="1292" spans="1:30" s="170" customFormat="1" ht="20.399999999999999">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104"/>
        <v/>
      </c>
      <c r="T1292" s="155" t="str">
        <f ca="1">IF(B1292="","",IF(ISERROR(MATCH($J1292,SorP!$B$1:$B$6226,0)),"",INDIRECT("'SorP'!$A$"&amp;MATCH($S1292&amp;$J1292,SorP!C:C,0))))</f>
        <v/>
      </c>
      <c r="U1292" s="168"/>
      <c r="V1292" s="169" t="e">
        <f>IF(C1292="",NA(),MATCH($B1292&amp;$C1292,'Smelter Look-up'!$J:$J,0))</f>
        <v>#N/A</v>
      </c>
      <c r="X1292" s="170">
        <f t="shared" ca="1" si="103"/>
        <v>0</v>
      </c>
      <c r="AB1292" s="313" t="str">
        <f t="shared" si="105"/>
        <v/>
      </c>
      <c r="AC1292" s="170" t="str">
        <f t="shared" si="106"/>
        <v/>
      </c>
      <c r="AD1292" s="170" t="str">
        <f t="shared" si="107"/>
        <v/>
      </c>
    </row>
    <row r="1293" spans="1:30" s="170" customFormat="1" ht="20.399999999999999">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104"/>
        <v/>
      </c>
      <c r="T1293" s="155" t="str">
        <f ca="1">IF(B1293="","",IF(ISERROR(MATCH($J1293,SorP!$B$1:$B$6226,0)),"",INDIRECT("'SorP'!$A$"&amp;MATCH($S1293&amp;$J1293,SorP!C:C,0))))</f>
        <v/>
      </c>
      <c r="U1293" s="168"/>
      <c r="V1293" s="169" t="e">
        <f>IF(C1293="",NA(),MATCH($B1293&amp;$C1293,'Smelter Look-up'!$J:$J,0))</f>
        <v>#N/A</v>
      </c>
      <c r="X1293" s="170">
        <f t="shared" ca="1" si="103"/>
        <v>0</v>
      </c>
      <c r="AB1293" s="313" t="str">
        <f t="shared" si="105"/>
        <v/>
      </c>
      <c r="AC1293" s="170" t="str">
        <f t="shared" si="106"/>
        <v/>
      </c>
      <c r="AD1293" s="170" t="str">
        <f t="shared" si="107"/>
        <v/>
      </c>
    </row>
    <row r="1294" spans="1:30" s="170" customFormat="1" ht="20.399999999999999">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104"/>
        <v/>
      </c>
      <c r="T1294" s="155" t="str">
        <f ca="1">IF(B1294="","",IF(ISERROR(MATCH($J1294,SorP!$B$1:$B$6226,0)),"",INDIRECT("'SorP'!$A$"&amp;MATCH($S1294&amp;$J1294,SorP!C:C,0))))</f>
        <v/>
      </c>
      <c r="U1294" s="168"/>
      <c r="V1294" s="169" t="e">
        <f>IF(C1294="",NA(),MATCH($B1294&amp;$C1294,'Smelter Look-up'!$J:$J,0))</f>
        <v>#N/A</v>
      </c>
      <c r="X1294" s="170">
        <f t="shared" ca="1" si="103"/>
        <v>0</v>
      </c>
      <c r="AB1294" s="313" t="str">
        <f t="shared" si="105"/>
        <v/>
      </c>
      <c r="AC1294" s="170" t="str">
        <f t="shared" si="106"/>
        <v/>
      </c>
      <c r="AD1294" s="170" t="str">
        <f t="shared" si="107"/>
        <v/>
      </c>
    </row>
    <row r="1295" spans="1:30" s="170" customFormat="1" ht="20.399999999999999">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104"/>
        <v/>
      </c>
      <c r="T1295" s="155" t="str">
        <f ca="1">IF(B1295="","",IF(ISERROR(MATCH($J1295,SorP!$B$1:$B$6226,0)),"",INDIRECT("'SorP'!$A$"&amp;MATCH($S1295&amp;$J1295,SorP!C:C,0))))</f>
        <v/>
      </c>
      <c r="U1295" s="168"/>
      <c r="V1295" s="169" t="e">
        <f>IF(C1295="",NA(),MATCH($B1295&amp;$C1295,'Smelter Look-up'!$J:$J,0))</f>
        <v>#N/A</v>
      </c>
      <c r="X1295" s="170">
        <f t="shared" ca="1" si="103"/>
        <v>0</v>
      </c>
      <c r="AB1295" s="313" t="str">
        <f t="shared" si="105"/>
        <v/>
      </c>
      <c r="AC1295" s="170" t="str">
        <f t="shared" si="106"/>
        <v/>
      </c>
      <c r="AD1295" s="170" t="str">
        <f t="shared" si="107"/>
        <v/>
      </c>
    </row>
    <row r="1296" spans="1:30" s="170" customFormat="1" ht="20.399999999999999">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104"/>
        <v/>
      </c>
      <c r="T1296" s="155" t="str">
        <f ca="1">IF(B1296="","",IF(ISERROR(MATCH($J1296,SorP!$B$1:$B$6226,0)),"",INDIRECT("'SorP'!$A$"&amp;MATCH($S1296&amp;$J1296,SorP!C:C,0))))</f>
        <v/>
      </c>
      <c r="U1296" s="168"/>
      <c r="V1296" s="169" t="e">
        <f>IF(C1296="",NA(),MATCH($B1296&amp;$C1296,'Smelter Look-up'!$J:$J,0))</f>
        <v>#N/A</v>
      </c>
      <c r="X1296" s="170">
        <f t="shared" ca="1" si="103"/>
        <v>0</v>
      </c>
      <c r="AB1296" s="313" t="str">
        <f t="shared" si="105"/>
        <v/>
      </c>
      <c r="AC1296" s="170" t="str">
        <f t="shared" si="106"/>
        <v/>
      </c>
      <c r="AD1296" s="170" t="str">
        <f t="shared" si="107"/>
        <v/>
      </c>
    </row>
    <row r="1297" spans="1:30" s="170" customFormat="1" ht="20.399999999999999">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104"/>
        <v/>
      </c>
      <c r="T1297" s="155" t="str">
        <f ca="1">IF(B1297="","",IF(ISERROR(MATCH($J1297,SorP!$B$1:$B$6226,0)),"",INDIRECT("'SorP'!$A$"&amp;MATCH($S1297&amp;$J1297,SorP!C:C,0))))</f>
        <v/>
      </c>
      <c r="U1297" s="168"/>
      <c r="V1297" s="169" t="e">
        <f>IF(C1297="",NA(),MATCH($B1297&amp;$C1297,'Smelter Look-up'!$J:$J,0))</f>
        <v>#N/A</v>
      </c>
      <c r="X1297" s="170">
        <f t="shared" ca="1" si="103"/>
        <v>0</v>
      </c>
      <c r="AB1297" s="313" t="str">
        <f t="shared" si="105"/>
        <v/>
      </c>
      <c r="AC1297" s="170" t="str">
        <f t="shared" si="106"/>
        <v/>
      </c>
      <c r="AD1297" s="170" t="str">
        <f t="shared" si="107"/>
        <v/>
      </c>
    </row>
    <row r="1298" spans="1:30" s="170" customFormat="1" ht="20.399999999999999">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104"/>
        <v/>
      </c>
      <c r="T1298" s="155" t="str">
        <f ca="1">IF(B1298="","",IF(ISERROR(MATCH($J1298,SorP!$B$1:$B$6226,0)),"",INDIRECT("'SorP'!$A$"&amp;MATCH($S1298&amp;$J1298,SorP!C:C,0))))</f>
        <v/>
      </c>
      <c r="U1298" s="168"/>
      <c r="V1298" s="169" t="e">
        <f>IF(C1298="",NA(),MATCH($B1298&amp;$C1298,'Smelter Look-up'!$J:$J,0))</f>
        <v>#N/A</v>
      </c>
      <c r="X1298" s="170">
        <f t="shared" ca="1" si="103"/>
        <v>0</v>
      </c>
      <c r="AB1298" s="313" t="str">
        <f t="shared" si="105"/>
        <v/>
      </c>
      <c r="AC1298" s="170" t="str">
        <f t="shared" si="106"/>
        <v/>
      </c>
      <c r="AD1298" s="170" t="str">
        <f t="shared" si="107"/>
        <v/>
      </c>
    </row>
    <row r="1299" spans="1:30" s="170" customFormat="1" ht="20.399999999999999">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104"/>
        <v/>
      </c>
      <c r="T1299" s="155" t="str">
        <f ca="1">IF(B1299="","",IF(ISERROR(MATCH($J1299,SorP!$B$1:$B$6226,0)),"",INDIRECT("'SorP'!$A$"&amp;MATCH($S1299&amp;$J1299,SorP!C:C,0))))</f>
        <v/>
      </c>
      <c r="U1299" s="168"/>
      <c r="V1299" s="169" t="e">
        <f>IF(C1299="",NA(),MATCH($B1299&amp;$C1299,'Smelter Look-up'!$J:$J,0))</f>
        <v>#N/A</v>
      </c>
      <c r="X1299" s="170">
        <f t="shared" ca="1" si="103"/>
        <v>0</v>
      </c>
      <c r="AB1299" s="313" t="str">
        <f t="shared" si="105"/>
        <v/>
      </c>
      <c r="AC1299" s="170" t="str">
        <f t="shared" si="106"/>
        <v/>
      </c>
      <c r="AD1299" s="170" t="str">
        <f t="shared" si="107"/>
        <v/>
      </c>
    </row>
    <row r="1300" spans="1:30" s="170" customFormat="1" ht="20.399999999999999">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104"/>
        <v/>
      </c>
      <c r="T1300" s="155" t="str">
        <f ca="1">IF(B1300="","",IF(ISERROR(MATCH($J1300,SorP!$B$1:$B$6226,0)),"",INDIRECT("'SorP'!$A$"&amp;MATCH($S1300&amp;$J1300,SorP!C:C,0))))</f>
        <v/>
      </c>
      <c r="U1300" s="168"/>
      <c r="V1300" s="169" t="e">
        <f>IF(C1300="",NA(),MATCH($B1300&amp;$C1300,'Smelter Look-up'!$J:$J,0))</f>
        <v>#N/A</v>
      </c>
      <c r="X1300" s="170">
        <f t="shared" ca="1" si="103"/>
        <v>0</v>
      </c>
      <c r="AB1300" s="313" t="str">
        <f t="shared" si="105"/>
        <v/>
      </c>
      <c r="AC1300" s="170" t="str">
        <f t="shared" si="106"/>
        <v/>
      </c>
      <c r="AD1300" s="170" t="str">
        <f t="shared" si="107"/>
        <v/>
      </c>
    </row>
    <row r="1301" spans="1:30" s="170" customFormat="1" ht="20.399999999999999">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104"/>
        <v/>
      </c>
      <c r="T1301" s="155" t="str">
        <f ca="1">IF(B1301="","",IF(ISERROR(MATCH($J1301,SorP!$B$1:$B$6226,0)),"",INDIRECT("'SorP'!$A$"&amp;MATCH($S1301&amp;$J1301,SorP!C:C,0))))</f>
        <v/>
      </c>
      <c r="U1301" s="168"/>
      <c r="V1301" s="169" t="e">
        <f>IF(C1301="",NA(),MATCH($B1301&amp;$C1301,'Smelter Look-up'!$J:$J,0))</f>
        <v>#N/A</v>
      </c>
      <c r="X1301" s="170">
        <f t="shared" ca="1" si="103"/>
        <v>0</v>
      </c>
      <c r="AB1301" s="313" t="str">
        <f t="shared" si="105"/>
        <v/>
      </c>
      <c r="AC1301" s="170" t="str">
        <f t="shared" si="106"/>
        <v/>
      </c>
      <c r="AD1301" s="170" t="str">
        <f t="shared" si="107"/>
        <v/>
      </c>
    </row>
    <row r="1302" spans="1:30" s="170" customFormat="1" ht="20.399999999999999">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104"/>
        <v/>
      </c>
      <c r="T1302" s="155" t="str">
        <f ca="1">IF(B1302="","",IF(ISERROR(MATCH($J1302,SorP!$B$1:$B$6226,0)),"",INDIRECT("'SorP'!$A$"&amp;MATCH($S1302&amp;$J1302,SorP!C:C,0))))</f>
        <v/>
      </c>
      <c r="U1302" s="168"/>
      <c r="V1302" s="169" t="e">
        <f>IF(C1302="",NA(),MATCH($B1302&amp;$C1302,'Smelter Look-up'!$J:$J,0))</f>
        <v>#N/A</v>
      </c>
      <c r="X1302" s="170">
        <f t="shared" ca="1" si="103"/>
        <v>0</v>
      </c>
      <c r="AB1302" s="313" t="str">
        <f t="shared" si="105"/>
        <v/>
      </c>
      <c r="AC1302" s="170" t="str">
        <f t="shared" si="106"/>
        <v/>
      </c>
      <c r="AD1302" s="170" t="str">
        <f t="shared" si="107"/>
        <v/>
      </c>
    </row>
    <row r="1303" spans="1:30" s="170" customFormat="1" ht="20.399999999999999">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104"/>
        <v/>
      </c>
      <c r="T1303" s="155" t="str">
        <f ca="1">IF(B1303="","",IF(ISERROR(MATCH($J1303,SorP!$B$1:$B$6226,0)),"",INDIRECT("'SorP'!$A$"&amp;MATCH($S1303&amp;$J1303,SorP!C:C,0))))</f>
        <v/>
      </c>
      <c r="U1303" s="168"/>
      <c r="V1303" s="169" t="e">
        <f>IF(C1303="",NA(),MATCH($B1303&amp;$C1303,'Smelter Look-up'!$J:$J,0))</f>
        <v>#N/A</v>
      </c>
      <c r="X1303" s="170">
        <f t="shared" ca="1" si="103"/>
        <v>0</v>
      </c>
      <c r="AB1303" s="313" t="str">
        <f t="shared" si="105"/>
        <v/>
      </c>
      <c r="AC1303" s="170" t="str">
        <f t="shared" si="106"/>
        <v/>
      </c>
      <c r="AD1303" s="170" t="str">
        <f t="shared" si="107"/>
        <v/>
      </c>
    </row>
    <row r="1304" spans="1:30" s="170" customFormat="1" ht="20.399999999999999">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104"/>
        <v/>
      </c>
      <c r="T1304" s="155" t="str">
        <f ca="1">IF(B1304="","",IF(ISERROR(MATCH($J1304,SorP!$B$1:$B$6226,0)),"",INDIRECT("'SorP'!$A$"&amp;MATCH($S1304&amp;$J1304,SorP!C:C,0))))</f>
        <v/>
      </c>
      <c r="U1304" s="168"/>
      <c r="V1304" s="169" t="e">
        <f>IF(C1304="",NA(),MATCH($B1304&amp;$C1304,'Smelter Look-up'!$J:$J,0))</f>
        <v>#N/A</v>
      </c>
      <c r="X1304" s="170">
        <f t="shared" ca="1" si="103"/>
        <v>0</v>
      </c>
      <c r="AB1304" s="313" t="str">
        <f t="shared" si="105"/>
        <v/>
      </c>
      <c r="AC1304" s="170" t="str">
        <f t="shared" si="106"/>
        <v/>
      </c>
      <c r="AD1304" s="170" t="str">
        <f t="shared" si="107"/>
        <v/>
      </c>
    </row>
    <row r="1305" spans="1:30" s="170" customFormat="1" ht="20.399999999999999">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104"/>
        <v/>
      </c>
      <c r="T1305" s="155" t="str">
        <f ca="1">IF(B1305="","",IF(ISERROR(MATCH($J1305,SorP!$B$1:$B$6226,0)),"",INDIRECT("'SorP'!$A$"&amp;MATCH($S1305&amp;$J1305,SorP!C:C,0))))</f>
        <v/>
      </c>
      <c r="U1305" s="168"/>
      <c r="V1305" s="169" t="e">
        <f>IF(C1305="",NA(),MATCH($B1305&amp;$C1305,'Smelter Look-up'!$J:$J,0))</f>
        <v>#N/A</v>
      </c>
      <c r="X1305" s="170">
        <f t="shared" ca="1" si="103"/>
        <v>0</v>
      </c>
      <c r="AB1305" s="313" t="str">
        <f t="shared" si="105"/>
        <v/>
      </c>
      <c r="AC1305" s="170" t="str">
        <f t="shared" si="106"/>
        <v/>
      </c>
      <c r="AD1305" s="170" t="str">
        <f t="shared" si="107"/>
        <v/>
      </c>
    </row>
    <row r="1306" spans="1:30" s="170" customFormat="1" ht="20.399999999999999">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104"/>
        <v/>
      </c>
      <c r="T1306" s="155" t="str">
        <f ca="1">IF(B1306="","",IF(ISERROR(MATCH($J1306,SorP!$B$1:$B$6226,0)),"",INDIRECT("'SorP'!$A$"&amp;MATCH($S1306&amp;$J1306,SorP!C:C,0))))</f>
        <v/>
      </c>
      <c r="U1306" s="168"/>
      <c r="V1306" s="169" t="e">
        <f>IF(C1306="",NA(),MATCH($B1306&amp;$C1306,'Smelter Look-up'!$J:$J,0))</f>
        <v>#N/A</v>
      </c>
      <c r="X1306" s="170">
        <f t="shared" ca="1" si="103"/>
        <v>0</v>
      </c>
      <c r="AB1306" s="313" t="str">
        <f t="shared" si="105"/>
        <v/>
      </c>
      <c r="AC1306" s="170" t="str">
        <f t="shared" si="106"/>
        <v/>
      </c>
      <c r="AD1306" s="170" t="str">
        <f t="shared" si="107"/>
        <v/>
      </c>
    </row>
    <row r="1307" spans="1:30" s="170" customFormat="1" ht="20.399999999999999">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104"/>
        <v/>
      </c>
      <c r="T1307" s="155" t="str">
        <f ca="1">IF(B1307="","",IF(ISERROR(MATCH($J1307,SorP!$B$1:$B$6226,0)),"",INDIRECT("'SorP'!$A$"&amp;MATCH($S1307&amp;$J1307,SorP!C:C,0))))</f>
        <v/>
      </c>
      <c r="U1307" s="168"/>
      <c r="V1307" s="169" t="e">
        <f>IF(C1307="",NA(),MATCH($B1307&amp;$C1307,'Smelter Look-up'!$J:$J,0))</f>
        <v>#N/A</v>
      </c>
      <c r="X1307" s="170">
        <f t="shared" ca="1" si="103"/>
        <v>0</v>
      </c>
      <c r="AB1307" s="313" t="str">
        <f t="shared" si="105"/>
        <v/>
      </c>
      <c r="AC1307" s="170" t="str">
        <f t="shared" si="106"/>
        <v/>
      </c>
      <c r="AD1307" s="170" t="str">
        <f t="shared" si="107"/>
        <v/>
      </c>
    </row>
    <row r="1308" spans="1:30" s="170" customFormat="1" ht="20.399999999999999">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104"/>
        <v/>
      </c>
      <c r="T1308" s="155" t="str">
        <f ca="1">IF(B1308="","",IF(ISERROR(MATCH($J1308,SorP!$B$1:$B$6226,0)),"",INDIRECT("'SorP'!$A$"&amp;MATCH($S1308&amp;$J1308,SorP!C:C,0))))</f>
        <v/>
      </c>
      <c r="U1308" s="168"/>
      <c r="V1308" s="169" t="e">
        <f>IF(C1308="",NA(),MATCH($B1308&amp;$C1308,'Smelter Look-up'!$J:$J,0))</f>
        <v>#N/A</v>
      </c>
      <c r="X1308" s="170">
        <f t="shared" ca="1" si="103"/>
        <v>0</v>
      </c>
      <c r="AB1308" s="313" t="str">
        <f t="shared" si="105"/>
        <v/>
      </c>
      <c r="AC1308" s="170" t="str">
        <f t="shared" si="106"/>
        <v/>
      </c>
      <c r="AD1308" s="170" t="str">
        <f t="shared" si="107"/>
        <v/>
      </c>
    </row>
    <row r="1309" spans="1:30" s="170" customFormat="1" ht="20.399999999999999">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104"/>
        <v/>
      </c>
      <c r="T1309" s="155" t="str">
        <f ca="1">IF(B1309="","",IF(ISERROR(MATCH($J1309,SorP!$B$1:$B$6226,0)),"",INDIRECT("'SorP'!$A$"&amp;MATCH($S1309&amp;$J1309,SorP!C:C,0))))</f>
        <v/>
      </c>
      <c r="U1309" s="168"/>
      <c r="V1309" s="169" t="e">
        <f>IF(C1309="",NA(),MATCH($B1309&amp;$C1309,'Smelter Look-up'!$J:$J,0))</f>
        <v>#N/A</v>
      </c>
      <c r="X1309" s="170">
        <f t="shared" ca="1" si="103"/>
        <v>0</v>
      </c>
      <c r="AB1309" s="313" t="str">
        <f t="shared" si="105"/>
        <v/>
      </c>
      <c r="AC1309" s="170" t="str">
        <f t="shared" si="106"/>
        <v/>
      </c>
      <c r="AD1309" s="170" t="str">
        <f t="shared" si="107"/>
        <v/>
      </c>
    </row>
    <row r="1310" spans="1:30" s="170" customFormat="1" ht="20.399999999999999">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104"/>
        <v/>
      </c>
      <c r="T1310" s="155" t="str">
        <f ca="1">IF(B1310="","",IF(ISERROR(MATCH($J1310,SorP!$B$1:$B$6226,0)),"",INDIRECT("'SorP'!$A$"&amp;MATCH($S1310&amp;$J1310,SorP!C:C,0))))</f>
        <v/>
      </c>
      <c r="U1310" s="168"/>
      <c r="V1310" s="169" t="e">
        <f>IF(C1310="",NA(),MATCH($B1310&amp;$C1310,'Smelter Look-up'!$J:$J,0))</f>
        <v>#N/A</v>
      </c>
      <c r="X1310" s="170">
        <f t="shared" ca="1" si="103"/>
        <v>0</v>
      </c>
      <c r="AB1310" s="313" t="str">
        <f t="shared" si="105"/>
        <v/>
      </c>
      <c r="AC1310" s="170" t="str">
        <f t="shared" si="106"/>
        <v/>
      </c>
      <c r="AD1310" s="170" t="str">
        <f t="shared" si="107"/>
        <v/>
      </c>
    </row>
    <row r="1311" spans="1:30" s="170" customFormat="1" ht="20.399999999999999">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104"/>
        <v/>
      </c>
      <c r="T1311" s="155" t="str">
        <f ca="1">IF(B1311="","",IF(ISERROR(MATCH($J1311,SorP!$B$1:$B$6226,0)),"",INDIRECT("'SorP'!$A$"&amp;MATCH($S1311&amp;$J1311,SorP!C:C,0))))</f>
        <v/>
      </c>
      <c r="U1311" s="168"/>
      <c r="V1311" s="169" t="e">
        <f>IF(C1311="",NA(),MATCH($B1311&amp;$C1311,'Smelter Look-up'!$J:$J,0))</f>
        <v>#N/A</v>
      </c>
      <c r="X1311" s="170">
        <f t="shared" ca="1" si="103"/>
        <v>0</v>
      </c>
      <c r="AB1311" s="313" t="str">
        <f t="shared" si="105"/>
        <v/>
      </c>
      <c r="AC1311" s="170" t="str">
        <f t="shared" si="106"/>
        <v/>
      </c>
      <c r="AD1311" s="170" t="str">
        <f t="shared" si="107"/>
        <v/>
      </c>
    </row>
    <row r="1312" spans="1:30" s="170" customFormat="1" ht="20.399999999999999">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104"/>
        <v/>
      </c>
      <c r="T1312" s="155" t="str">
        <f ca="1">IF(B1312="","",IF(ISERROR(MATCH($J1312,SorP!$B$1:$B$6226,0)),"",INDIRECT("'SorP'!$A$"&amp;MATCH($S1312&amp;$J1312,SorP!C:C,0))))</f>
        <v/>
      </c>
      <c r="U1312" s="168"/>
      <c r="V1312" s="169" t="e">
        <f>IF(C1312="",NA(),MATCH($B1312&amp;$C1312,'Smelter Look-up'!$J:$J,0))</f>
        <v>#N/A</v>
      </c>
      <c r="X1312" s="170">
        <f t="shared" ca="1" si="103"/>
        <v>0</v>
      </c>
      <c r="AB1312" s="313" t="str">
        <f t="shared" si="105"/>
        <v/>
      </c>
      <c r="AC1312" s="170" t="str">
        <f t="shared" si="106"/>
        <v/>
      </c>
      <c r="AD1312" s="170" t="str">
        <f t="shared" si="107"/>
        <v/>
      </c>
    </row>
    <row r="1313" spans="1:30" s="170" customFormat="1" ht="20.399999999999999">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104"/>
        <v/>
      </c>
      <c r="T1313" s="155" t="str">
        <f ca="1">IF(B1313="","",IF(ISERROR(MATCH($J1313,SorP!$B$1:$B$6226,0)),"",INDIRECT("'SorP'!$A$"&amp;MATCH($S1313&amp;$J1313,SorP!C:C,0))))</f>
        <v/>
      </c>
      <c r="U1313" s="168"/>
      <c r="V1313" s="169" t="e">
        <f>IF(C1313="",NA(),MATCH($B1313&amp;$C1313,'Smelter Look-up'!$J:$J,0))</f>
        <v>#N/A</v>
      </c>
      <c r="X1313" s="170">
        <f t="shared" ca="1" si="103"/>
        <v>0</v>
      </c>
      <c r="AB1313" s="313" t="str">
        <f t="shared" si="105"/>
        <v/>
      </c>
      <c r="AC1313" s="170" t="str">
        <f t="shared" si="106"/>
        <v/>
      </c>
      <c r="AD1313" s="170" t="str">
        <f t="shared" si="107"/>
        <v/>
      </c>
    </row>
    <row r="1314" spans="1:30" s="170" customFormat="1" ht="20.399999999999999">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104"/>
        <v/>
      </c>
      <c r="T1314" s="155" t="str">
        <f ca="1">IF(B1314="","",IF(ISERROR(MATCH($J1314,SorP!$B$1:$B$6226,0)),"",INDIRECT("'SorP'!$A$"&amp;MATCH($S1314&amp;$J1314,SorP!C:C,0))))</f>
        <v/>
      </c>
      <c r="U1314" s="168"/>
      <c r="V1314" s="169" t="e">
        <f>IF(C1314="",NA(),MATCH($B1314&amp;$C1314,'Smelter Look-up'!$J:$J,0))</f>
        <v>#N/A</v>
      </c>
      <c r="X1314" s="170">
        <f t="shared" ca="1" si="103"/>
        <v>0</v>
      </c>
      <c r="AB1314" s="313" t="str">
        <f t="shared" si="105"/>
        <v/>
      </c>
      <c r="AC1314" s="170" t="str">
        <f t="shared" si="106"/>
        <v/>
      </c>
      <c r="AD1314" s="170" t="str">
        <f t="shared" si="107"/>
        <v/>
      </c>
    </row>
    <row r="1315" spans="1:30" s="170" customFormat="1" ht="20.399999999999999">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104"/>
        <v/>
      </c>
      <c r="T1315" s="155" t="str">
        <f ca="1">IF(B1315="","",IF(ISERROR(MATCH($J1315,SorP!$B$1:$B$6226,0)),"",INDIRECT("'SorP'!$A$"&amp;MATCH($S1315&amp;$J1315,SorP!C:C,0))))</f>
        <v/>
      </c>
      <c r="U1315" s="168"/>
      <c r="V1315" s="169" t="e">
        <f>IF(C1315="",NA(),MATCH($B1315&amp;$C1315,'Smelter Look-up'!$J:$J,0))</f>
        <v>#N/A</v>
      </c>
      <c r="X1315" s="170">
        <f t="shared" ca="1" si="103"/>
        <v>0</v>
      </c>
      <c r="AB1315" s="313" t="str">
        <f t="shared" si="105"/>
        <v/>
      </c>
      <c r="AC1315" s="170" t="str">
        <f t="shared" si="106"/>
        <v/>
      </c>
      <c r="AD1315" s="170" t="str">
        <f t="shared" si="107"/>
        <v/>
      </c>
    </row>
    <row r="1316" spans="1:30" s="170" customFormat="1" ht="20.399999999999999">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104"/>
        <v/>
      </c>
      <c r="T1316" s="155" t="str">
        <f ca="1">IF(B1316="","",IF(ISERROR(MATCH($J1316,SorP!$B$1:$B$6226,0)),"",INDIRECT("'SorP'!$A$"&amp;MATCH($S1316&amp;$J1316,SorP!C:C,0))))</f>
        <v/>
      </c>
      <c r="U1316" s="168"/>
      <c r="V1316" s="169" t="e">
        <f>IF(C1316="",NA(),MATCH($B1316&amp;$C1316,'Smelter Look-up'!$J:$J,0))</f>
        <v>#N/A</v>
      </c>
      <c r="X1316" s="170">
        <f t="shared" ca="1" si="103"/>
        <v>0</v>
      </c>
      <c r="AB1316" s="313" t="str">
        <f t="shared" si="105"/>
        <v/>
      </c>
      <c r="AC1316" s="170" t="str">
        <f t="shared" si="106"/>
        <v/>
      </c>
      <c r="AD1316" s="170" t="str">
        <f t="shared" si="107"/>
        <v/>
      </c>
    </row>
    <row r="1317" spans="1:30" s="170" customFormat="1" ht="20.399999999999999">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104"/>
        <v/>
      </c>
      <c r="T1317" s="155" t="str">
        <f ca="1">IF(B1317="","",IF(ISERROR(MATCH($J1317,SorP!$B$1:$B$6226,0)),"",INDIRECT("'SorP'!$A$"&amp;MATCH($S1317&amp;$J1317,SorP!C:C,0))))</f>
        <v/>
      </c>
      <c r="U1317" s="168"/>
      <c r="V1317" s="169" t="e">
        <f>IF(C1317="",NA(),MATCH($B1317&amp;$C1317,'Smelter Look-up'!$J:$J,0))</f>
        <v>#N/A</v>
      </c>
      <c r="X1317" s="170">
        <f t="shared" ca="1" si="103"/>
        <v>0</v>
      </c>
      <c r="AB1317" s="313" t="str">
        <f t="shared" si="105"/>
        <v/>
      </c>
      <c r="AC1317" s="170" t="str">
        <f t="shared" si="106"/>
        <v/>
      </c>
      <c r="AD1317" s="170" t="str">
        <f t="shared" si="107"/>
        <v/>
      </c>
    </row>
    <row r="1318" spans="1:30" s="170" customFormat="1" ht="20.399999999999999">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104"/>
        <v/>
      </c>
      <c r="T1318" s="155" t="str">
        <f ca="1">IF(B1318="","",IF(ISERROR(MATCH($J1318,SorP!$B$1:$B$6226,0)),"",INDIRECT("'SorP'!$A$"&amp;MATCH($S1318&amp;$J1318,SorP!C:C,0))))</f>
        <v/>
      </c>
      <c r="U1318" s="168"/>
      <c r="V1318" s="169" t="e">
        <f>IF(C1318="",NA(),MATCH($B1318&amp;$C1318,'Smelter Look-up'!$J:$J,0))</f>
        <v>#N/A</v>
      </c>
      <c r="X1318" s="170">
        <f t="shared" ca="1" si="103"/>
        <v>0</v>
      </c>
      <c r="AB1318" s="313" t="str">
        <f t="shared" si="105"/>
        <v/>
      </c>
      <c r="AC1318" s="170" t="str">
        <f t="shared" si="106"/>
        <v/>
      </c>
      <c r="AD1318" s="170" t="str">
        <f t="shared" si="107"/>
        <v/>
      </c>
    </row>
    <row r="1319" spans="1:30" s="170" customFormat="1" ht="20.399999999999999">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104"/>
        <v/>
      </c>
      <c r="T1319" s="155" t="str">
        <f ca="1">IF(B1319="","",IF(ISERROR(MATCH($J1319,SorP!$B$1:$B$6226,0)),"",INDIRECT("'SorP'!$A$"&amp;MATCH($S1319&amp;$J1319,SorP!C:C,0))))</f>
        <v/>
      </c>
      <c r="U1319" s="168"/>
      <c r="V1319" s="169" t="e">
        <f>IF(C1319="",NA(),MATCH($B1319&amp;$C1319,'Smelter Look-up'!$J:$J,0))</f>
        <v>#N/A</v>
      </c>
      <c r="X1319" s="170">
        <f t="shared" ca="1" si="103"/>
        <v>0</v>
      </c>
      <c r="AB1319" s="313" t="str">
        <f t="shared" si="105"/>
        <v/>
      </c>
      <c r="AC1319" s="170" t="str">
        <f t="shared" si="106"/>
        <v/>
      </c>
      <c r="AD1319" s="170" t="str">
        <f t="shared" si="107"/>
        <v/>
      </c>
    </row>
    <row r="1320" spans="1:30" s="170" customFormat="1" ht="20.399999999999999">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104"/>
        <v/>
      </c>
      <c r="T1320" s="155" t="str">
        <f ca="1">IF(B1320="","",IF(ISERROR(MATCH($J1320,SorP!$B$1:$B$6226,0)),"",INDIRECT("'SorP'!$A$"&amp;MATCH($S1320&amp;$J1320,SorP!C:C,0))))</f>
        <v/>
      </c>
      <c r="U1320" s="168"/>
      <c r="V1320" s="169" t="e">
        <f>IF(C1320="",NA(),MATCH($B1320&amp;$C1320,'Smelter Look-up'!$J:$J,0))</f>
        <v>#N/A</v>
      </c>
      <c r="X1320" s="170">
        <f t="shared" ca="1" si="103"/>
        <v>0</v>
      </c>
      <c r="AB1320" s="313" t="str">
        <f t="shared" si="105"/>
        <v/>
      </c>
      <c r="AC1320" s="170" t="str">
        <f t="shared" si="106"/>
        <v/>
      </c>
      <c r="AD1320" s="170" t="str">
        <f t="shared" si="107"/>
        <v/>
      </c>
    </row>
    <row r="1321" spans="1:30" s="170" customFormat="1" ht="20.399999999999999">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104"/>
        <v/>
      </c>
      <c r="T1321" s="155" t="str">
        <f ca="1">IF(B1321="","",IF(ISERROR(MATCH($J1321,SorP!$B$1:$B$6226,0)),"",INDIRECT("'SorP'!$A$"&amp;MATCH($S1321&amp;$J1321,SorP!C:C,0))))</f>
        <v/>
      </c>
      <c r="U1321" s="168"/>
      <c r="V1321" s="169" t="e">
        <f>IF(C1321="",NA(),MATCH($B1321&amp;$C1321,'Smelter Look-up'!$J:$J,0))</f>
        <v>#N/A</v>
      </c>
      <c r="X1321" s="170">
        <f t="shared" ca="1" si="103"/>
        <v>0</v>
      </c>
      <c r="AB1321" s="313" t="str">
        <f t="shared" si="105"/>
        <v/>
      </c>
      <c r="AC1321" s="170" t="str">
        <f t="shared" si="106"/>
        <v/>
      </c>
      <c r="AD1321" s="170" t="str">
        <f t="shared" si="107"/>
        <v/>
      </c>
    </row>
    <row r="1322" spans="1:30" s="170" customFormat="1" ht="20.399999999999999">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104"/>
        <v/>
      </c>
      <c r="T1322" s="155" t="str">
        <f ca="1">IF(B1322="","",IF(ISERROR(MATCH($J1322,SorP!$B$1:$B$6226,0)),"",INDIRECT("'SorP'!$A$"&amp;MATCH($S1322&amp;$J1322,SorP!C:C,0))))</f>
        <v/>
      </c>
      <c r="U1322" s="168"/>
      <c r="V1322" s="169" t="e">
        <f>IF(C1322="",NA(),MATCH($B1322&amp;$C1322,'Smelter Look-up'!$J:$J,0))</f>
        <v>#N/A</v>
      </c>
      <c r="X1322" s="170">
        <f t="shared" ca="1" si="103"/>
        <v>0</v>
      </c>
      <c r="AB1322" s="313" t="str">
        <f t="shared" si="105"/>
        <v/>
      </c>
      <c r="AC1322" s="170" t="str">
        <f t="shared" si="106"/>
        <v/>
      </c>
      <c r="AD1322" s="170" t="str">
        <f t="shared" si="107"/>
        <v/>
      </c>
    </row>
    <row r="1323" spans="1:30" s="170" customFormat="1" ht="20.399999999999999">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104"/>
        <v/>
      </c>
      <c r="T1323" s="155" t="str">
        <f ca="1">IF(B1323="","",IF(ISERROR(MATCH($J1323,SorP!$B$1:$B$6226,0)),"",INDIRECT("'SorP'!$A$"&amp;MATCH($S1323&amp;$J1323,SorP!C:C,0))))</f>
        <v/>
      </c>
      <c r="U1323" s="168"/>
      <c r="V1323" s="169" t="e">
        <f>IF(C1323="",NA(),MATCH($B1323&amp;$C1323,'Smelter Look-up'!$J:$J,0))</f>
        <v>#N/A</v>
      </c>
      <c r="X1323" s="170">
        <f t="shared" ca="1" si="103"/>
        <v>0</v>
      </c>
      <c r="AB1323" s="313" t="str">
        <f t="shared" si="105"/>
        <v/>
      </c>
      <c r="AC1323" s="170" t="str">
        <f t="shared" si="106"/>
        <v/>
      </c>
      <c r="AD1323" s="170" t="str">
        <f t="shared" si="107"/>
        <v/>
      </c>
    </row>
    <row r="1324" spans="1:30" s="170" customFormat="1" ht="20.399999999999999">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104"/>
        <v/>
      </c>
      <c r="T1324" s="155" t="str">
        <f ca="1">IF(B1324="","",IF(ISERROR(MATCH($J1324,SorP!$B$1:$B$6226,0)),"",INDIRECT("'SorP'!$A$"&amp;MATCH($S1324&amp;$J1324,SorP!C:C,0))))</f>
        <v/>
      </c>
      <c r="U1324" s="168"/>
      <c r="V1324" s="169" t="e">
        <f>IF(C1324="",NA(),MATCH($B1324&amp;$C1324,'Smelter Look-up'!$J:$J,0))</f>
        <v>#N/A</v>
      </c>
      <c r="X1324" s="170">
        <f t="shared" ca="1" si="103"/>
        <v>0</v>
      </c>
      <c r="AB1324" s="313" t="str">
        <f t="shared" si="105"/>
        <v/>
      </c>
      <c r="AC1324" s="170" t="str">
        <f t="shared" si="106"/>
        <v/>
      </c>
      <c r="AD1324" s="170" t="str">
        <f t="shared" si="107"/>
        <v/>
      </c>
    </row>
    <row r="1325" spans="1:30" s="170" customFormat="1" ht="20.399999999999999">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104"/>
        <v/>
      </c>
      <c r="T1325" s="155" t="str">
        <f ca="1">IF(B1325="","",IF(ISERROR(MATCH($J1325,SorP!$B$1:$B$6226,0)),"",INDIRECT("'SorP'!$A$"&amp;MATCH($S1325&amp;$J1325,SorP!C:C,0))))</f>
        <v/>
      </c>
      <c r="U1325" s="168"/>
      <c r="V1325" s="169" t="e">
        <f>IF(C1325="",NA(),MATCH($B1325&amp;$C1325,'Smelter Look-up'!$J:$J,0))</f>
        <v>#N/A</v>
      </c>
      <c r="X1325" s="170">
        <f t="shared" ca="1" si="103"/>
        <v>0</v>
      </c>
      <c r="AB1325" s="313" t="str">
        <f t="shared" si="105"/>
        <v/>
      </c>
      <c r="AC1325" s="170" t="str">
        <f t="shared" si="106"/>
        <v/>
      </c>
      <c r="AD1325" s="170" t="str">
        <f t="shared" si="107"/>
        <v/>
      </c>
    </row>
    <row r="1326" spans="1:30" s="170" customFormat="1" ht="20.399999999999999">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104"/>
        <v/>
      </c>
      <c r="T1326" s="155" t="str">
        <f ca="1">IF(B1326="","",IF(ISERROR(MATCH($J1326,SorP!$B$1:$B$6226,0)),"",INDIRECT("'SorP'!$A$"&amp;MATCH($S1326&amp;$J1326,SorP!C:C,0))))</f>
        <v/>
      </c>
      <c r="U1326" s="168"/>
      <c r="V1326" s="169" t="e">
        <f>IF(C1326="",NA(),MATCH($B1326&amp;$C1326,'Smelter Look-up'!$J:$J,0))</f>
        <v>#N/A</v>
      </c>
      <c r="X1326" s="170">
        <f t="shared" ca="1" si="103"/>
        <v>0</v>
      </c>
      <c r="AB1326" s="313" t="str">
        <f t="shared" si="105"/>
        <v/>
      </c>
      <c r="AC1326" s="170" t="str">
        <f t="shared" si="106"/>
        <v/>
      </c>
      <c r="AD1326" s="170" t="str">
        <f t="shared" si="107"/>
        <v/>
      </c>
    </row>
    <row r="1327" spans="1:30" s="170" customFormat="1" ht="20.399999999999999">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104"/>
        <v/>
      </c>
      <c r="T1327" s="155" t="str">
        <f ca="1">IF(B1327="","",IF(ISERROR(MATCH($J1327,SorP!$B$1:$B$6226,0)),"",INDIRECT("'SorP'!$A$"&amp;MATCH($S1327&amp;$J1327,SorP!C:C,0))))</f>
        <v/>
      </c>
      <c r="U1327" s="168"/>
      <c r="V1327" s="169" t="e">
        <f>IF(C1327="",NA(),MATCH($B1327&amp;$C1327,'Smelter Look-up'!$J:$J,0))</f>
        <v>#N/A</v>
      </c>
      <c r="X1327" s="170">
        <f t="shared" ca="1" si="103"/>
        <v>0</v>
      </c>
      <c r="AB1327" s="313" t="str">
        <f t="shared" si="105"/>
        <v/>
      </c>
      <c r="AC1327" s="170" t="str">
        <f t="shared" si="106"/>
        <v/>
      </c>
      <c r="AD1327" s="170" t="str">
        <f t="shared" si="107"/>
        <v/>
      </c>
    </row>
    <row r="1328" spans="1:30" s="170" customFormat="1" ht="20.399999999999999">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104"/>
        <v/>
      </c>
      <c r="T1328" s="155" t="str">
        <f ca="1">IF(B1328="","",IF(ISERROR(MATCH($J1328,SorP!$B$1:$B$6226,0)),"",INDIRECT("'SorP'!$A$"&amp;MATCH($S1328&amp;$J1328,SorP!C:C,0))))</f>
        <v/>
      </c>
      <c r="U1328" s="168"/>
      <c r="V1328" s="169" t="e">
        <f>IF(C1328="",NA(),MATCH($B1328&amp;$C1328,'Smelter Look-up'!$J:$J,0))</f>
        <v>#N/A</v>
      </c>
      <c r="X1328" s="170">
        <f t="shared" ca="1" si="103"/>
        <v>0</v>
      </c>
      <c r="AB1328" s="313" t="str">
        <f t="shared" si="105"/>
        <v/>
      </c>
      <c r="AC1328" s="170" t="str">
        <f t="shared" si="106"/>
        <v/>
      </c>
      <c r="AD1328" s="170" t="str">
        <f t="shared" si="107"/>
        <v/>
      </c>
    </row>
    <row r="1329" spans="1:30" s="170" customFormat="1" ht="20.399999999999999">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104"/>
        <v/>
      </c>
      <c r="T1329" s="155" t="str">
        <f ca="1">IF(B1329="","",IF(ISERROR(MATCH($J1329,SorP!$B$1:$B$6226,0)),"",INDIRECT("'SorP'!$A$"&amp;MATCH($S1329&amp;$J1329,SorP!C:C,0))))</f>
        <v/>
      </c>
      <c r="U1329" s="168"/>
      <c r="V1329" s="169" t="e">
        <f>IF(C1329="",NA(),MATCH($B1329&amp;$C1329,'Smelter Look-up'!$J:$J,0))</f>
        <v>#N/A</v>
      </c>
      <c r="X1329" s="170">
        <f t="shared" ca="1" si="103"/>
        <v>0</v>
      </c>
      <c r="AB1329" s="313" t="str">
        <f t="shared" si="105"/>
        <v/>
      </c>
      <c r="AC1329" s="170" t="str">
        <f t="shared" si="106"/>
        <v/>
      </c>
      <c r="AD1329" s="170" t="str">
        <f t="shared" si="107"/>
        <v/>
      </c>
    </row>
    <row r="1330" spans="1:30" s="170" customFormat="1" ht="20.399999999999999">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104"/>
        <v/>
      </c>
      <c r="T1330" s="155" t="str">
        <f ca="1">IF(B1330="","",IF(ISERROR(MATCH($J1330,SorP!$B$1:$B$6226,0)),"",INDIRECT("'SorP'!$A$"&amp;MATCH($S1330&amp;$J1330,SorP!C:C,0))))</f>
        <v/>
      </c>
      <c r="U1330" s="168"/>
      <c r="V1330" s="169" t="e">
        <f>IF(C1330="",NA(),MATCH($B1330&amp;$C1330,'Smelter Look-up'!$J:$J,0))</f>
        <v>#N/A</v>
      </c>
      <c r="X1330" s="170">
        <f t="shared" ca="1" si="103"/>
        <v>0</v>
      </c>
      <c r="AB1330" s="313" t="str">
        <f t="shared" si="105"/>
        <v/>
      </c>
      <c r="AC1330" s="170" t="str">
        <f t="shared" si="106"/>
        <v/>
      </c>
      <c r="AD1330" s="170" t="str">
        <f t="shared" si="107"/>
        <v/>
      </c>
    </row>
    <row r="1331" spans="1:30" s="170" customFormat="1" ht="20.399999999999999">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104"/>
        <v/>
      </c>
      <c r="T1331" s="155" t="str">
        <f ca="1">IF(B1331="","",IF(ISERROR(MATCH($J1331,SorP!$B$1:$B$6226,0)),"",INDIRECT("'SorP'!$A$"&amp;MATCH($S1331&amp;$J1331,SorP!C:C,0))))</f>
        <v/>
      </c>
      <c r="U1331" s="168"/>
      <c r="V1331" s="169" t="e">
        <f>IF(C1331="",NA(),MATCH($B1331&amp;$C1331,'Smelter Look-up'!$J:$J,0))</f>
        <v>#N/A</v>
      </c>
      <c r="X1331" s="170">
        <f t="shared" ca="1" si="103"/>
        <v>0</v>
      </c>
      <c r="AB1331" s="313" t="str">
        <f t="shared" si="105"/>
        <v/>
      </c>
      <c r="AC1331" s="170" t="str">
        <f t="shared" si="106"/>
        <v/>
      </c>
      <c r="AD1331" s="170" t="str">
        <f t="shared" si="107"/>
        <v/>
      </c>
    </row>
    <row r="1332" spans="1:30" s="170" customFormat="1" ht="20.399999999999999">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104"/>
        <v/>
      </c>
      <c r="T1332" s="155" t="str">
        <f ca="1">IF(B1332="","",IF(ISERROR(MATCH($J1332,SorP!$B$1:$B$6226,0)),"",INDIRECT("'SorP'!$A$"&amp;MATCH($S1332&amp;$J1332,SorP!C:C,0))))</f>
        <v/>
      </c>
      <c r="U1332" s="168"/>
      <c r="V1332" s="169" t="e">
        <f>IF(C1332="",NA(),MATCH($B1332&amp;$C1332,'Smelter Look-up'!$J:$J,0))</f>
        <v>#N/A</v>
      </c>
      <c r="X1332" s="170">
        <f t="shared" ca="1" si="103"/>
        <v>0</v>
      </c>
      <c r="AB1332" s="313" t="str">
        <f t="shared" si="105"/>
        <v/>
      </c>
      <c r="AC1332" s="170" t="str">
        <f t="shared" si="106"/>
        <v/>
      </c>
      <c r="AD1332" s="170" t="str">
        <f t="shared" si="107"/>
        <v/>
      </c>
    </row>
    <row r="1333" spans="1:30" s="170" customFormat="1" ht="20.399999999999999">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104"/>
        <v/>
      </c>
      <c r="T1333" s="155" t="str">
        <f ca="1">IF(B1333="","",IF(ISERROR(MATCH($J1333,SorP!$B$1:$B$6226,0)),"",INDIRECT("'SorP'!$A$"&amp;MATCH($S1333&amp;$J1333,SorP!C:C,0))))</f>
        <v/>
      </c>
      <c r="U1333" s="168"/>
      <c r="V1333" s="169" t="e">
        <f>IF(C1333="",NA(),MATCH($B1333&amp;$C1333,'Smelter Look-up'!$J:$J,0))</f>
        <v>#N/A</v>
      </c>
      <c r="X1333" s="170">
        <f t="shared" ca="1" si="103"/>
        <v>0</v>
      </c>
      <c r="AB1333" s="313" t="str">
        <f t="shared" si="105"/>
        <v/>
      </c>
      <c r="AC1333" s="170" t="str">
        <f t="shared" si="106"/>
        <v/>
      </c>
      <c r="AD1333" s="170" t="str">
        <f t="shared" si="107"/>
        <v/>
      </c>
    </row>
    <row r="1334" spans="1:30" s="170" customFormat="1" ht="20.399999999999999">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104"/>
        <v/>
      </c>
      <c r="T1334" s="155" t="str">
        <f ca="1">IF(B1334="","",IF(ISERROR(MATCH($J1334,SorP!$B$1:$B$6226,0)),"",INDIRECT("'SorP'!$A$"&amp;MATCH($S1334&amp;$J1334,SorP!C:C,0))))</f>
        <v/>
      </c>
      <c r="U1334" s="168"/>
      <c r="V1334" s="169" t="e">
        <f>IF(C1334="",NA(),MATCH($B1334&amp;$C1334,'Smelter Look-up'!$J:$J,0))</f>
        <v>#N/A</v>
      </c>
      <c r="X1334" s="170">
        <f t="shared" ca="1" si="103"/>
        <v>0</v>
      </c>
      <c r="AB1334" s="313" t="str">
        <f t="shared" si="105"/>
        <v/>
      </c>
      <c r="AC1334" s="170" t="str">
        <f t="shared" si="106"/>
        <v/>
      </c>
      <c r="AD1334" s="170" t="str">
        <f t="shared" si="107"/>
        <v/>
      </c>
    </row>
    <row r="1335" spans="1:30" s="170" customFormat="1" ht="20.399999999999999">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104"/>
        <v/>
      </c>
      <c r="T1335" s="155" t="str">
        <f ca="1">IF(B1335="","",IF(ISERROR(MATCH($J1335,SorP!$B$1:$B$6226,0)),"",INDIRECT("'SorP'!$A$"&amp;MATCH($S1335&amp;$J1335,SorP!C:C,0))))</f>
        <v/>
      </c>
      <c r="U1335" s="168"/>
      <c r="V1335" s="169" t="e">
        <f>IF(C1335="",NA(),MATCH($B1335&amp;$C1335,'Smelter Look-up'!$J:$J,0))</f>
        <v>#N/A</v>
      </c>
      <c r="X1335" s="170">
        <f t="shared" ca="1" si="103"/>
        <v>0</v>
      </c>
      <c r="AB1335" s="313" t="str">
        <f t="shared" si="105"/>
        <v/>
      </c>
      <c r="AC1335" s="170" t="str">
        <f t="shared" si="106"/>
        <v/>
      </c>
      <c r="AD1335" s="170" t="str">
        <f t="shared" si="107"/>
        <v/>
      </c>
    </row>
    <row r="1336" spans="1:30" s="170" customFormat="1" ht="20.399999999999999">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104"/>
        <v/>
      </c>
      <c r="T1336" s="155" t="str">
        <f ca="1">IF(B1336="","",IF(ISERROR(MATCH($J1336,SorP!$B$1:$B$6226,0)),"",INDIRECT("'SorP'!$A$"&amp;MATCH($S1336&amp;$J1336,SorP!C:C,0))))</f>
        <v/>
      </c>
      <c r="U1336" s="168"/>
      <c r="V1336" s="169" t="e">
        <f>IF(C1336="",NA(),MATCH($B1336&amp;$C1336,'Smelter Look-up'!$J:$J,0))</f>
        <v>#N/A</v>
      </c>
      <c r="X1336" s="170">
        <f t="shared" ca="1" si="103"/>
        <v>0</v>
      </c>
      <c r="AB1336" s="313" t="str">
        <f t="shared" si="105"/>
        <v/>
      </c>
      <c r="AC1336" s="170" t="str">
        <f t="shared" si="106"/>
        <v/>
      </c>
      <c r="AD1336" s="170" t="str">
        <f t="shared" si="107"/>
        <v/>
      </c>
    </row>
    <row r="1337" spans="1:30" s="170" customFormat="1" ht="20.399999999999999">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104"/>
        <v/>
      </c>
      <c r="T1337" s="155" t="str">
        <f ca="1">IF(B1337="","",IF(ISERROR(MATCH($J1337,SorP!$B$1:$B$6226,0)),"",INDIRECT("'SorP'!$A$"&amp;MATCH($S1337&amp;$J1337,SorP!C:C,0))))</f>
        <v/>
      </c>
      <c r="U1337" s="168"/>
      <c r="V1337" s="169" t="e">
        <f>IF(C1337="",NA(),MATCH($B1337&amp;$C1337,'Smelter Look-up'!$J:$J,0))</f>
        <v>#N/A</v>
      </c>
      <c r="X1337" s="170">
        <f t="shared" ca="1" si="103"/>
        <v>0</v>
      </c>
      <c r="AB1337" s="313" t="str">
        <f t="shared" si="105"/>
        <v/>
      </c>
      <c r="AC1337" s="170" t="str">
        <f t="shared" si="106"/>
        <v/>
      </c>
      <c r="AD1337" s="170" t="str">
        <f t="shared" si="107"/>
        <v/>
      </c>
    </row>
    <row r="1338" spans="1:30" s="170" customFormat="1" ht="20.399999999999999">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104"/>
        <v/>
      </c>
      <c r="T1338" s="155" t="str">
        <f ca="1">IF(B1338="","",IF(ISERROR(MATCH($J1338,SorP!$B$1:$B$6226,0)),"",INDIRECT("'SorP'!$A$"&amp;MATCH($S1338&amp;$J1338,SorP!C:C,0))))</f>
        <v/>
      </c>
      <c r="U1338" s="168"/>
      <c r="V1338" s="169" t="e">
        <f>IF(C1338="",NA(),MATCH($B1338&amp;$C1338,'Smelter Look-up'!$J:$J,0))</f>
        <v>#N/A</v>
      </c>
      <c r="X1338" s="170">
        <f t="shared" ca="1" si="103"/>
        <v>0</v>
      </c>
      <c r="AB1338" s="313" t="str">
        <f t="shared" si="105"/>
        <v/>
      </c>
      <c r="AC1338" s="170" t="str">
        <f t="shared" si="106"/>
        <v/>
      </c>
      <c r="AD1338" s="170" t="str">
        <f t="shared" si="107"/>
        <v/>
      </c>
    </row>
    <row r="1339" spans="1:30" s="170" customFormat="1" ht="20.399999999999999">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104"/>
        <v/>
      </c>
      <c r="T1339" s="155" t="str">
        <f ca="1">IF(B1339="","",IF(ISERROR(MATCH($J1339,SorP!$B$1:$B$6226,0)),"",INDIRECT("'SorP'!$A$"&amp;MATCH($S1339&amp;$J1339,SorP!C:C,0))))</f>
        <v/>
      </c>
      <c r="U1339" s="168"/>
      <c r="V1339" s="169" t="e">
        <f>IF(C1339="",NA(),MATCH($B1339&amp;$C1339,'Smelter Look-up'!$J:$J,0))</f>
        <v>#N/A</v>
      </c>
      <c r="X1339" s="170">
        <f t="shared" ca="1" si="103"/>
        <v>0</v>
      </c>
      <c r="AB1339" s="313" t="str">
        <f t="shared" si="105"/>
        <v/>
      </c>
      <c r="AC1339" s="170" t="str">
        <f t="shared" si="106"/>
        <v/>
      </c>
      <c r="AD1339" s="170" t="str">
        <f t="shared" si="107"/>
        <v/>
      </c>
    </row>
    <row r="1340" spans="1:30" s="170" customFormat="1" ht="20.399999999999999">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104"/>
        <v/>
      </c>
      <c r="T1340" s="155" t="str">
        <f ca="1">IF(B1340="","",IF(ISERROR(MATCH($J1340,SorP!$B$1:$B$6226,0)),"",INDIRECT("'SorP'!$A$"&amp;MATCH($S1340&amp;$J1340,SorP!C:C,0))))</f>
        <v/>
      </c>
      <c r="U1340" s="168"/>
      <c r="V1340" s="169" t="e">
        <f>IF(C1340="",NA(),MATCH($B1340&amp;$C1340,'Smelter Look-up'!$J:$J,0))</f>
        <v>#N/A</v>
      </c>
      <c r="X1340" s="170">
        <f t="shared" ca="1" si="103"/>
        <v>0</v>
      </c>
      <c r="AB1340" s="313" t="str">
        <f t="shared" si="105"/>
        <v/>
      </c>
      <c r="AC1340" s="170" t="str">
        <f t="shared" si="106"/>
        <v/>
      </c>
      <c r="AD1340" s="170" t="str">
        <f t="shared" si="107"/>
        <v/>
      </c>
    </row>
    <row r="1341" spans="1:30" s="170" customFormat="1" ht="20.399999999999999">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104"/>
        <v/>
      </c>
      <c r="T1341" s="155" t="str">
        <f ca="1">IF(B1341="","",IF(ISERROR(MATCH($J1341,SorP!$B$1:$B$6226,0)),"",INDIRECT("'SorP'!$A$"&amp;MATCH($S1341&amp;$J1341,SorP!C:C,0))))</f>
        <v/>
      </c>
      <c r="U1341" s="168"/>
      <c r="V1341" s="169" t="e">
        <f>IF(C1341="",NA(),MATCH($B1341&amp;$C1341,'Smelter Look-up'!$J:$J,0))</f>
        <v>#N/A</v>
      </c>
      <c r="X1341" s="170">
        <f t="shared" ca="1" si="103"/>
        <v>0</v>
      </c>
      <c r="AB1341" s="313" t="str">
        <f t="shared" si="105"/>
        <v/>
      </c>
      <c r="AC1341" s="170" t="str">
        <f t="shared" si="106"/>
        <v/>
      </c>
      <c r="AD1341" s="170" t="str">
        <f t="shared" si="107"/>
        <v/>
      </c>
    </row>
    <row r="1342" spans="1:30" s="170" customFormat="1" ht="20.399999999999999">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104"/>
        <v/>
      </c>
      <c r="T1342" s="155" t="str">
        <f ca="1">IF(B1342="","",IF(ISERROR(MATCH($J1342,SorP!$B$1:$B$6226,0)),"",INDIRECT("'SorP'!$A$"&amp;MATCH($S1342&amp;$J1342,SorP!C:C,0))))</f>
        <v/>
      </c>
      <c r="U1342" s="168"/>
      <c r="V1342" s="169" t="e">
        <f>IF(C1342="",NA(),MATCH($B1342&amp;$C1342,'Smelter Look-up'!$J:$J,0))</f>
        <v>#N/A</v>
      </c>
      <c r="X1342" s="170">
        <f t="shared" ca="1" si="103"/>
        <v>0</v>
      </c>
      <c r="AB1342" s="313" t="str">
        <f t="shared" si="105"/>
        <v/>
      </c>
      <c r="AC1342" s="170" t="str">
        <f t="shared" si="106"/>
        <v/>
      </c>
      <c r="AD1342" s="170" t="str">
        <f t="shared" si="107"/>
        <v/>
      </c>
    </row>
    <row r="1343" spans="1:30" s="170" customFormat="1" ht="20.399999999999999">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104"/>
        <v/>
      </c>
      <c r="T1343" s="155" t="str">
        <f ca="1">IF(B1343="","",IF(ISERROR(MATCH($J1343,SorP!$B$1:$B$6226,0)),"",INDIRECT("'SorP'!$A$"&amp;MATCH($S1343&amp;$J1343,SorP!C:C,0))))</f>
        <v/>
      </c>
      <c r="U1343" s="168"/>
      <c r="V1343" s="169" t="e">
        <f>IF(C1343="",NA(),MATCH($B1343&amp;$C1343,'Smelter Look-up'!$J:$J,0))</f>
        <v>#N/A</v>
      </c>
      <c r="X1343" s="170">
        <f t="shared" ref="X1343:X1406" ca="1" si="108">IF(AND(C1343="Smelter not listed",OR(LEN(D1343)=0,LEN(E1343)=0)),1,0)</f>
        <v>0</v>
      </c>
      <c r="AB1343" s="313" t="str">
        <f t="shared" si="105"/>
        <v/>
      </c>
      <c r="AC1343" s="170" t="str">
        <f t="shared" si="106"/>
        <v/>
      </c>
      <c r="AD1343" s="170" t="str">
        <f t="shared" si="107"/>
        <v/>
      </c>
    </row>
    <row r="1344" spans="1:30" s="170" customFormat="1" ht="20.399999999999999">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ref="S1344:S1407" ca="1" si="109">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108"/>
        <v>0</v>
      </c>
      <c r="AB1344" s="313" t="str">
        <f t="shared" si="105"/>
        <v/>
      </c>
      <c r="AC1344" s="170" t="str">
        <f t="shared" si="106"/>
        <v/>
      </c>
      <c r="AD1344" s="170" t="str">
        <f t="shared" si="107"/>
        <v/>
      </c>
    </row>
    <row r="1345" spans="1:30" s="170" customFormat="1" ht="20.399999999999999">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109"/>
        <v/>
      </c>
      <c r="T1345" s="155" t="str">
        <f ca="1">IF(B1345="","",IF(ISERROR(MATCH($J1345,SorP!$B$1:$B$6226,0)),"",INDIRECT("'SorP'!$A$"&amp;MATCH($S1345&amp;$J1345,SorP!C:C,0))))</f>
        <v/>
      </c>
      <c r="U1345" s="168"/>
      <c r="V1345" s="169" t="e">
        <f>IF(C1345="",NA(),MATCH($B1345&amp;$C1345,'Smelter Look-up'!$J:$J,0))</f>
        <v>#N/A</v>
      </c>
      <c r="X1345" s="170">
        <f t="shared" ca="1" si="108"/>
        <v>0</v>
      </c>
      <c r="AB1345" s="313" t="str">
        <f t="shared" si="105"/>
        <v/>
      </c>
      <c r="AC1345" s="170" t="str">
        <f t="shared" si="106"/>
        <v/>
      </c>
      <c r="AD1345" s="170" t="str">
        <f t="shared" si="107"/>
        <v/>
      </c>
    </row>
    <row r="1346" spans="1:30" s="170" customFormat="1" ht="20.399999999999999">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109"/>
        <v/>
      </c>
      <c r="T1346" s="155" t="str">
        <f ca="1">IF(B1346="","",IF(ISERROR(MATCH($J1346,SorP!$B$1:$B$6226,0)),"",INDIRECT("'SorP'!$A$"&amp;MATCH($S1346&amp;$J1346,SorP!C:C,0))))</f>
        <v/>
      </c>
      <c r="U1346" s="168"/>
      <c r="V1346" s="169" t="e">
        <f>IF(C1346="",NA(),MATCH($B1346&amp;$C1346,'Smelter Look-up'!$J:$J,0))</f>
        <v>#N/A</v>
      </c>
      <c r="X1346" s="170">
        <f t="shared" ca="1" si="108"/>
        <v>0</v>
      </c>
      <c r="AB1346" s="313" t="str">
        <f t="shared" si="105"/>
        <v/>
      </c>
      <c r="AC1346" s="170" t="str">
        <f t="shared" si="106"/>
        <v/>
      </c>
      <c r="AD1346" s="170" t="str">
        <f t="shared" si="107"/>
        <v/>
      </c>
    </row>
    <row r="1347" spans="1:30" s="170" customFormat="1" ht="20.399999999999999">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109"/>
        <v/>
      </c>
      <c r="T1347" s="155" t="str">
        <f ca="1">IF(B1347="","",IF(ISERROR(MATCH($J1347,SorP!$B$1:$B$6226,0)),"",INDIRECT("'SorP'!$A$"&amp;MATCH($S1347&amp;$J1347,SorP!C:C,0))))</f>
        <v/>
      </c>
      <c r="U1347" s="168"/>
      <c r="V1347" s="169" t="e">
        <f>IF(C1347="",NA(),MATCH($B1347&amp;$C1347,'Smelter Look-up'!$J:$J,0))</f>
        <v>#N/A</v>
      </c>
      <c r="X1347" s="170">
        <f t="shared" ca="1" si="108"/>
        <v>0</v>
      </c>
      <c r="AB1347" s="313" t="str">
        <f t="shared" si="105"/>
        <v/>
      </c>
      <c r="AC1347" s="170" t="str">
        <f t="shared" si="106"/>
        <v/>
      </c>
      <c r="AD1347" s="170" t="str">
        <f t="shared" si="107"/>
        <v/>
      </c>
    </row>
    <row r="1348" spans="1:30" s="170" customFormat="1" ht="20.399999999999999">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109"/>
        <v/>
      </c>
      <c r="T1348" s="155" t="str">
        <f ca="1">IF(B1348="","",IF(ISERROR(MATCH($J1348,SorP!$B$1:$B$6226,0)),"",INDIRECT("'SorP'!$A$"&amp;MATCH($S1348&amp;$J1348,SorP!C:C,0))))</f>
        <v/>
      </c>
      <c r="U1348" s="168"/>
      <c r="V1348" s="169" t="e">
        <f>IF(C1348="",NA(),MATCH($B1348&amp;$C1348,'Smelter Look-up'!$J:$J,0))</f>
        <v>#N/A</v>
      </c>
      <c r="X1348" s="170">
        <f t="shared" ca="1" si="108"/>
        <v>0</v>
      </c>
      <c r="AB1348" s="313" t="str">
        <f t="shared" si="105"/>
        <v/>
      </c>
      <c r="AC1348" s="170" t="str">
        <f t="shared" si="106"/>
        <v/>
      </c>
      <c r="AD1348" s="170" t="str">
        <f t="shared" si="107"/>
        <v/>
      </c>
    </row>
    <row r="1349" spans="1:30" s="170" customFormat="1" ht="20.399999999999999">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109"/>
        <v/>
      </c>
      <c r="T1349" s="155" t="str">
        <f ca="1">IF(B1349="","",IF(ISERROR(MATCH($J1349,SorP!$B$1:$B$6226,0)),"",INDIRECT("'SorP'!$A$"&amp;MATCH($S1349&amp;$J1349,SorP!C:C,0))))</f>
        <v/>
      </c>
      <c r="U1349" s="168"/>
      <c r="V1349" s="169" t="e">
        <f>IF(C1349="",NA(),MATCH($B1349&amp;$C1349,'Smelter Look-up'!$J:$J,0))</f>
        <v>#N/A</v>
      </c>
      <c r="X1349" s="170">
        <f t="shared" ca="1" si="108"/>
        <v>0</v>
      </c>
      <c r="AB1349" s="313" t="str">
        <f t="shared" si="105"/>
        <v/>
      </c>
      <c r="AC1349" s="170" t="str">
        <f t="shared" si="106"/>
        <v/>
      </c>
      <c r="AD1349" s="170" t="str">
        <f t="shared" si="107"/>
        <v/>
      </c>
    </row>
    <row r="1350" spans="1:30" s="170" customFormat="1" ht="20.399999999999999">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109"/>
        <v/>
      </c>
      <c r="T1350" s="155" t="str">
        <f ca="1">IF(B1350="","",IF(ISERROR(MATCH($J1350,SorP!$B$1:$B$6226,0)),"",INDIRECT("'SorP'!$A$"&amp;MATCH($S1350&amp;$J1350,SorP!C:C,0))))</f>
        <v/>
      </c>
      <c r="U1350" s="168"/>
      <c r="V1350" s="169" t="e">
        <f>IF(C1350="",NA(),MATCH($B1350&amp;$C1350,'Smelter Look-up'!$J:$J,0))</f>
        <v>#N/A</v>
      </c>
      <c r="X1350" s="170">
        <f t="shared" ca="1" si="108"/>
        <v>0</v>
      </c>
      <c r="AB1350" s="313" t="str">
        <f t="shared" ref="AB1350:AB1413" si="110">IF(C1350="","",B1350)</f>
        <v/>
      </c>
      <c r="AC1350" s="170" t="str">
        <f t="shared" ref="AC1350:AC1413" si="111">B1350</f>
        <v/>
      </c>
      <c r="AD1350" s="170" t="str">
        <f t="shared" ref="AD1350:AD1413" si="112">IF(C1350="Smelter not listed",D1350,C1350)</f>
        <v/>
      </c>
    </row>
    <row r="1351" spans="1:30" s="170" customFormat="1" ht="20.399999999999999">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109"/>
        <v/>
      </c>
      <c r="T1351" s="155" t="str">
        <f ca="1">IF(B1351="","",IF(ISERROR(MATCH($J1351,SorP!$B$1:$B$6226,0)),"",INDIRECT("'SorP'!$A$"&amp;MATCH($S1351&amp;$J1351,SorP!C:C,0))))</f>
        <v/>
      </c>
      <c r="U1351" s="168"/>
      <c r="V1351" s="169" t="e">
        <f>IF(C1351="",NA(),MATCH($B1351&amp;$C1351,'Smelter Look-up'!$J:$J,0))</f>
        <v>#N/A</v>
      </c>
      <c r="X1351" s="170">
        <f t="shared" ca="1" si="108"/>
        <v>0</v>
      </c>
      <c r="AB1351" s="313" t="str">
        <f t="shared" si="110"/>
        <v/>
      </c>
      <c r="AC1351" s="170" t="str">
        <f t="shared" si="111"/>
        <v/>
      </c>
      <c r="AD1351" s="170" t="str">
        <f t="shared" si="112"/>
        <v/>
      </c>
    </row>
    <row r="1352" spans="1:30" s="170" customFormat="1" ht="20.399999999999999">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109"/>
        <v/>
      </c>
      <c r="T1352" s="155" t="str">
        <f ca="1">IF(B1352="","",IF(ISERROR(MATCH($J1352,SorP!$B$1:$B$6226,0)),"",INDIRECT("'SorP'!$A$"&amp;MATCH($S1352&amp;$J1352,SorP!C:C,0))))</f>
        <v/>
      </c>
      <c r="U1352" s="168"/>
      <c r="V1352" s="169" t="e">
        <f>IF(C1352="",NA(),MATCH($B1352&amp;$C1352,'Smelter Look-up'!$J:$J,0))</f>
        <v>#N/A</v>
      </c>
      <c r="X1352" s="170">
        <f t="shared" ca="1" si="108"/>
        <v>0</v>
      </c>
      <c r="AB1352" s="313" t="str">
        <f t="shared" si="110"/>
        <v/>
      </c>
      <c r="AC1352" s="170" t="str">
        <f t="shared" si="111"/>
        <v/>
      </c>
      <c r="AD1352" s="170" t="str">
        <f t="shared" si="112"/>
        <v/>
      </c>
    </row>
    <row r="1353" spans="1:30" s="170" customFormat="1" ht="20.399999999999999">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109"/>
        <v/>
      </c>
      <c r="T1353" s="155" t="str">
        <f ca="1">IF(B1353="","",IF(ISERROR(MATCH($J1353,SorP!$B$1:$B$6226,0)),"",INDIRECT("'SorP'!$A$"&amp;MATCH($S1353&amp;$J1353,SorP!C:C,0))))</f>
        <v/>
      </c>
      <c r="U1353" s="168"/>
      <c r="V1353" s="169" t="e">
        <f>IF(C1353="",NA(),MATCH($B1353&amp;$C1353,'Smelter Look-up'!$J:$J,0))</f>
        <v>#N/A</v>
      </c>
      <c r="X1353" s="170">
        <f t="shared" ca="1" si="108"/>
        <v>0</v>
      </c>
      <c r="AB1353" s="313" t="str">
        <f t="shared" si="110"/>
        <v/>
      </c>
      <c r="AC1353" s="170" t="str">
        <f t="shared" si="111"/>
        <v/>
      </c>
      <c r="AD1353" s="170" t="str">
        <f t="shared" si="112"/>
        <v/>
      </c>
    </row>
    <row r="1354" spans="1:30" s="170" customFormat="1" ht="20.399999999999999">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109"/>
        <v/>
      </c>
      <c r="T1354" s="155" t="str">
        <f ca="1">IF(B1354="","",IF(ISERROR(MATCH($J1354,SorP!$B$1:$B$6226,0)),"",INDIRECT("'SorP'!$A$"&amp;MATCH($S1354&amp;$J1354,SorP!C:C,0))))</f>
        <v/>
      </c>
      <c r="U1354" s="168"/>
      <c r="V1354" s="169" t="e">
        <f>IF(C1354="",NA(),MATCH($B1354&amp;$C1354,'Smelter Look-up'!$J:$J,0))</f>
        <v>#N/A</v>
      </c>
      <c r="X1354" s="170">
        <f t="shared" ca="1" si="108"/>
        <v>0</v>
      </c>
      <c r="AB1354" s="313" t="str">
        <f t="shared" si="110"/>
        <v/>
      </c>
      <c r="AC1354" s="170" t="str">
        <f t="shared" si="111"/>
        <v/>
      </c>
      <c r="AD1354" s="170" t="str">
        <f t="shared" si="112"/>
        <v/>
      </c>
    </row>
    <row r="1355" spans="1:30" s="170" customFormat="1" ht="20.399999999999999">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109"/>
        <v/>
      </c>
      <c r="T1355" s="155" t="str">
        <f ca="1">IF(B1355="","",IF(ISERROR(MATCH($J1355,SorP!$B$1:$B$6226,0)),"",INDIRECT("'SorP'!$A$"&amp;MATCH($S1355&amp;$J1355,SorP!C:C,0))))</f>
        <v/>
      </c>
      <c r="U1355" s="168"/>
      <c r="V1355" s="169" t="e">
        <f>IF(C1355="",NA(),MATCH($B1355&amp;$C1355,'Smelter Look-up'!$J:$J,0))</f>
        <v>#N/A</v>
      </c>
      <c r="X1355" s="170">
        <f t="shared" ca="1" si="108"/>
        <v>0</v>
      </c>
      <c r="AB1355" s="313" t="str">
        <f t="shared" si="110"/>
        <v/>
      </c>
      <c r="AC1355" s="170" t="str">
        <f t="shared" si="111"/>
        <v/>
      </c>
      <c r="AD1355" s="170" t="str">
        <f t="shared" si="112"/>
        <v/>
      </c>
    </row>
    <row r="1356" spans="1:30" s="170" customFormat="1" ht="20.399999999999999">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109"/>
        <v/>
      </c>
      <c r="T1356" s="155" t="str">
        <f ca="1">IF(B1356="","",IF(ISERROR(MATCH($J1356,SorP!$B$1:$B$6226,0)),"",INDIRECT("'SorP'!$A$"&amp;MATCH($S1356&amp;$J1356,SorP!C:C,0))))</f>
        <v/>
      </c>
      <c r="U1356" s="168"/>
      <c r="V1356" s="169" t="e">
        <f>IF(C1356="",NA(),MATCH($B1356&amp;$C1356,'Smelter Look-up'!$J:$J,0))</f>
        <v>#N/A</v>
      </c>
      <c r="X1356" s="170">
        <f t="shared" ca="1" si="108"/>
        <v>0</v>
      </c>
      <c r="AB1356" s="313" t="str">
        <f t="shared" si="110"/>
        <v/>
      </c>
      <c r="AC1356" s="170" t="str">
        <f t="shared" si="111"/>
        <v/>
      </c>
      <c r="AD1356" s="170" t="str">
        <f t="shared" si="112"/>
        <v/>
      </c>
    </row>
    <row r="1357" spans="1:30" s="170" customFormat="1" ht="20.399999999999999">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109"/>
        <v/>
      </c>
      <c r="T1357" s="155" t="str">
        <f ca="1">IF(B1357="","",IF(ISERROR(MATCH($J1357,SorP!$B$1:$B$6226,0)),"",INDIRECT("'SorP'!$A$"&amp;MATCH($S1357&amp;$J1357,SorP!C:C,0))))</f>
        <v/>
      </c>
      <c r="U1357" s="168"/>
      <c r="V1357" s="169" t="e">
        <f>IF(C1357="",NA(),MATCH($B1357&amp;$C1357,'Smelter Look-up'!$J:$J,0))</f>
        <v>#N/A</v>
      </c>
      <c r="X1357" s="170">
        <f t="shared" ca="1" si="108"/>
        <v>0</v>
      </c>
      <c r="AB1357" s="313" t="str">
        <f t="shared" si="110"/>
        <v/>
      </c>
      <c r="AC1357" s="170" t="str">
        <f t="shared" si="111"/>
        <v/>
      </c>
      <c r="AD1357" s="170" t="str">
        <f t="shared" si="112"/>
        <v/>
      </c>
    </row>
    <row r="1358" spans="1:30" s="170" customFormat="1" ht="20.399999999999999">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109"/>
        <v/>
      </c>
      <c r="T1358" s="155" t="str">
        <f ca="1">IF(B1358="","",IF(ISERROR(MATCH($J1358,SorP!$B$1:$B$6226,0)),"",INDIRECT("'SorP'!$A$"&amp;MATCH($S1358&amp;$J1358,SorP!C:C,0))))</f>
        <v/>
      </c>
      <c r="U1358" s="168"/>
      <c r="V1358" s="169" t="e">
        <f>IF(C1358="",NA(),MATCH($B1358&amp;$C1358,'Smelter Look-up'!$J:$J,0))</f>
        <v>#N/A</v>
      </c>
      <c r="X1358" s="170">
        <f t="shared" ca="1" si="108"/>
        <v>0</v>
      </c>
      <c r="AB1358" s="313" t="str">
        <f t="shared" si="110"/>
        <v/>
      </c>
      <c r="AC1358" s="170" t="str">
        <f t="shared" si="111"/>
        <v/>
      </c>
      <c r="AD1358" s="170" t="str">
        <f t="shared" si="112"/>
        <v/>
      </c>
    </row>
    <row r="1359" spans="1:30" s="170" customFormat="1" ht="20.399999999999999">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109"/>
        <v/>
      </c>
      <c r="T1359" s="155" t="str">
        <f ca="1">IF(B1359="","",IF(ISERROR(MATCH($J1359,SorP!$B$1:$B$6226,0)),"",INDIRECT("'SorP'!$A$"&amp;MATCH($S1359&amp;$J1359,SorP!C:C,0))))</f>
        <v/>
      </c>
      <c r="U1359" s="168"/>
      <c r="V1359" s="169" t="e">
        <f>IF(C1359="",NA(),MATCH($B1359&amp;$C1359,'Smelter Look-up'!$J:$J,0))</f>
        <v>#N/A</v>
      </c>
      <c r="X1359" s="170">
        <f t="shared" ca="1" si="108"/>
        <v>0</v>
      </c>
      <c r="AB1359" s="313" t="str">
        <f t="shared" si="110"/>
        <v/>
      </c>
      <c r="AC1359" s="170" t="str">
        <f t="shared" si="111"/>
        <v/>
      </c>
      <c r="AD1359" s="170" t="str">
        <f t="shared" si="112"/>
        <v/>
      </c>
    </row>
    <row r="1360" spans="1:30" s="170" customFormat="1" ht="20.399999999999999">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109"/>
        <v/>
      </c>
      <c r="T1360" s="155" t="str">
        <f ca="1">IF(B1360="","",IF(ISERROR(MATCH($J1360,SorP!$B$1:$B$6226,0)),"",INDIRECT("'SorP'!$A$"&amp;MATCH($S1360&amp;$J1360,SorP!C:C,0))))</f>
        <v/>
      </c>
      <c r="U1360" s="168"/>
      <c r="V1360" s="169" t="e">
        <f>IF(C1360="",NA(),MATCH($B1360&amp;$C1360,'Smelter Look-up'!$J:$J,0))</f>
        <v>#N/A</v>
      </c>
      <c r="X1360" s="170">
        <f t="shared" ca="1" si="108"/>
        <v>0</v>
      </c>
      <c r="AB1360" s="313" t="str">
        <f t="shared" si="110"/>
        <v/>
      </c>
      <c r="AC1360" s="170" t="str">
        <f t="shared" si="111"/>
        <v/>
      </c>
      <c r="AD1360" s="170" t="str">
        <f t="shared" si="112"/>
        <v/>
      </c>
    </row>
    <row r="1361" spans="1:30" s="170" customFormat="1" ht="20.399999999999999">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109"/>
        <v/>
      </c>
      <c r="T1361" s="155" t="str">
        <f ca="1">IF(B1361="","",IF(ISERROR(MATCH($J1361,SorP!$B$1:$B$6226,0)),"",INDIRECT("'SorP'!$A$"&amp;MATCH($S1361&amp;$J1361,SorP!C:C,0))))</f>
        <v/>
      </c>
      <c r="U1361" s="168"/>
      <c r="V1361" s="169" t="e">
        <f>IF(C1361="",NA(),MATCH($B1361&amp;$C1361,'Smelter Look-up'!$J:$J,0))</f>
        <v>#N/A</v>
      </c>
      <c r="X1361" s="170">
        <f t="shared" ca="1" si="108"/>
        <v>0</v>
      </c>
      <c r="AB1361" s="313" t="str">
        <f t="shared" si="110"/>
        <v/>
      </c>
      <c r="AC1361" s="170" t="str">
        <f t="shared" si="111"/>
        <v/>
      </c>
      <c r="AD1361" s="170" t="str">
        <f t="shared" si="112"/>
        <v/>
      </c>
    </row>
    <row r="1362" spans="1:30" s="170" customFormat="1" ht="20.399999999999999">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109"/>
        <v/>
      </c>
      <c r="T1362" s="155" t="str">
        <f ca="1">IF(B1362="","",IF(ISERROR(MATCH($J1362,SorP!$B$1:$B$6226,0)),"",INDIRECT("'SorP'!$A$"&amp;MATCH($S1362&amp;$J1362,SorP!C:C,0))))</f>
        <v/>
      </c>
      <c r="U1362" s="168"/>
      <c r="V1362" s="169" t="e">
        <f>IF(C1362="",NA(),MATCH($B1362&amp;$C1362,'Smelter Look-up'!$J:$J,0))</f>
        <v>#N/A</v>
      </c>
      <c r="X1362" s="170">
        <f t="shared" ca="1" si="108"/>
        <v>0</v>
      </c>
      <c r="AB1362" s="313" t="str">
        <f t="shared" si="110"/>
        <v/>
      </c>
      <c r="AC1362" s="170" t="str">
        <f t="shared" si="111"/>
        <v/>
      </c>
      <c r="AD1362" s="170" t="str">
        <f t="shared" si="112"/>
        <v/>
      </c>
    </row>
    <row r="1363" spans="1:30" s="170" customFormat="1" ht="20.399999999999999">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109"/>
        <v/>
      </c>
      <c r="T1363" s="155" t="str">
        <f ca="1">IF(B1363="","",IF(ISERROR(MATCH($J1363,SorP!$B$1:$B$6226,0)),"",INDIRECT("'SorP'!$A$"&amp;MATCH($S1363&amp;$J1363,SorP!C:C,0))))</f>
        <v/>
      </c>
      <c r="U1363" s="168"/>
      <c r="V1363" s="169" t="e">
        <f>IF(C1363="",NA(),MATCH($B1363&amp;$C1363,'Smelter Look-up'!$J:$J,0))</f>
        <v>#N/A</v>
      </c>
      <c r="X1363" s="170">
        <f t="shared" ca="1" si="108"/>
        <v>0</v>
      </c>
      <c r="AB1363" s="313" t="str">
        <f t="shared" si="110"/>
        <v/>
      </c>
      <c r="AC1363" s="170" t="str">
        <f t="shared" si="111"/>
        <v/>
      </c>
      <c r="AD1363" s="170" t="str">
        <f t="shared" si="112"/>
        <v/>
      </c>
    </row>
    <row r="1364" spans="1:30" s="170" customFormat="1" ht="20.399999999999999">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109"/>
        <v/>
      </c>
      <c r="T1364" s="155" t="str">
        <f ca="1">IF(B1364="","",IF(ISERROR(MATCH($J1364,SorP!$B$1:$B$6226,0)),"",INDIRECT("'SorP'!$A$"&amp;MATCH($S1364&amp;$J1364,SorP!C:C,0))))</f>
        <v/>
      </c>
      <c r="U1364" s="168"/>
      <c r="V1364" s="169" t="e">
        <f>IF(C1364="",NA(),MATCH($B1364&amp;$C1364,'Smelter Look-up'!$J:$J,0))</f>
        <v>#N/A</v>
      </c>
      <c r="X1364" s="170">
        <f t="shared" ca="1" si="108"/>
        <v>0</v>
      </c>
      <c r="AB1364" s="313" t="str">
        <f t="shared" si="110"/>
        <v/>
      </c>
      <c r="AC1364" s="170" t="str">
        <f t="shared" si="111"/>
        <v/>
      </c>
      <c r="AD1364" s="170" t="str">
        <f t="shared" si="112"/>
        <v/>
      </c>
    </row>
    <row r="1365" spans="1:30" s="170" customFormat="1" ht="20.399999999999999">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109"/>
        <v/>
      </c>
      <c r="T1365" s="155" t="str">
        <f ca="1">IF(B1365="","",IF(ISERROR(MATCH($J1365,SorP!$B$1:$B$6226,0)),"",INDIRECT("'SorP'!$A$"&amp;MATCH($S1365&amp;$J1365,SorP!C:C,0))))</f>
        <v/>
      </c>
      <c r="U1365" s="168"/>
      <c r="V1365" s="169" t="e">
        <f>IF(C1365="",NA(),MATCH($B1365&amp;$C1365,'Smelter Look-up'!$J:$J,0))</f>
        <v>#N/A</v>
      </c>
      <c r="X1365" s="170">
        <f t="shared" ca="1" si="108"/>
        <v>0</v>
      </c>
      <c r="AB1365" s="313" t="str">
        <f t="shared" si="110"/>
        <v/>
      </c>
      <c r="AC1365" s="170" t="str">
        <f t="shared" si="111"/>
        <v/>
      </c>
      <c r="AD1365" s="170" t="str">
        <f t="shared" si="112"/>
        <v/>
      </c>
    </row>
    <row r="1366" spans="1:30" s="170" customFormat="1" ht="20.399999999999999">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109"/>
        <v/>
      </c>
      <c r="T1366" s="155" t="str">
        <f ca="1">IF(B1366="","",IF(ISERROR(MATCH($J1366,SorP!$B$1:$B$6226,0)),"",INDIRECT("'SorP'!$A$"&amp;MATCH($S1366&amp;$J1366,SorP!C:C,0))))</f>
        <v/>
      </c>
      <c r="U1366" s="168"/>
      <c r="V1366" s="169" t="e">
        <f>IF(C1366="",NA(),MATCH($B1366&amp;$C1366,'Smelter Look-up'!$J:$J,0))</f>
        <v>#N/A</v>
      </c>
      <c r="X1366" s="170">
        <f t="shared" ca="1" si="108"/>
        <v>0</v>
      </c>
      <c r="AB1366" s="313" t="str">
        <f t="shared" si="110"/>
        <v/>
      </c>
      <c r="AC1366" s="170" t="str">
        <f t="shared" si="111"/>
        <v/>
      </c>
      <c r="AD1366" s="170" t="str">
        <f t="shared" si="112"/>
        <v/>
      </c>
    </row>
    <row r="1367" spans="1:30" s="170" customFormat="1" ht="20.399999999999999">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109"/>
        <v/>
      </c>
      <c r="T1367" s="155" t="str">
        <f ca="1">IF(B1367="","",IF(ISERROR(MATCH($J1367,SorP!$B$1:$B$6226,0)),"",INDIRECT("'SorP'!$A$"&amp;MATCH($S1367&amp;$J1367,SorP!C:C,0))))</f>
        <v/>
      </c>
      <c r="U1367" s="168"/>
      <c r="V1367" s="169" t="e">
        <f>IF(C1367="",NA(),MATCH($B1367&amp;$C1367,'Smelter Look-up'!$J:$J,0))</f>
        <v>#N/A</v>
      </c>
      <c r="X1367" s="170">
        <f t="shared" ca="1" si="108"/>
        <v>0</v>
      </c>
      <c r="AB1367" s="313" t="str">
        <f t="shared" si="110"/>
        <v/>
      </c>
      <c r="AC1367" s="170" t="str">
        <f t="shared" si="111"/>
        <v/>
      </c>
      <c r="AD1367" s="170" t="str">
        <f t="shared" si="112"/>
        <v/>
      </c>
    </row>
    <row r="1368" spans="1:30" s="170" customFormat="1" ht="20.399999999999999">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109"/>
        <v/>
      </c>
      <c r="T1368" s="155" t="str">
        <f ca="1">IF(B1368="","",IF(ISERROR(MATCH($J1368,SorP!$B$1:$B$6226,0)),"",INDIRECT("'SorP'!$A$"&amp;MATCH($S1368&amp;$J1368,SorP!C:C,0))))</f>
        <v/>
      </c>
      <c r="U1368" s="168"/>
      <c r="V1368" s="169" t="e">
        <f>IF(C1368="",NA(),MATCH($B1368&amp;$C1368,'Smelter Look-up'!$J:$J,0))</f>
        <v>#N/A</v>
      </c>
      <c r="X1368" s="170">
        <f t="shared" ca="1" si="108"/>
        <v>0</v>
      </c>
      <c r="AB1368" s="313" t="str">
        <f t="shared" si="110"/>
        <v/>
      </c>
      <c r="AC1368" s="170" t="str">
        <f t="shared" si="111"/>
        <v/>
      </c>
      <c r="AD1368" s="170" t="str">
        <f t="shared" si="112"/>
        <v/>
      </c>
    </row>
    <row r="1369" spans="1:30" s="170" customFormat="1" ht="20.399999999999999">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109"/>
        <v/>
      </c>
      <c r="T1369" s="155" t="str">
        <f ca="1">IF(B1369="","",IF(ISERROR(MATCH($J1369,SorP!$B$1:$B$6226,0)),"",INDIRECT("'SorP'!$A$"&amp;MATCH($S1369&amp;$J1369,SorP!C:C,0))))</f>
        <v/>
      </c>
      <c r="U1369" s="168"/>
      <c r="V1369" s="169" t="e">
        <f>IF(C1369="",NA(),MATCH($B1369&amp;$C1369,'Smelter Look-up'!$J:$J,0))</f>
        <v>#N/A</v>
      </c>
      <c r="X1369" s="170">
        <f t="shared" ca="1" si="108"/>
        <v>0</v>
      </c>
      <c r="AB1369" s="313" t="str">
        <f t="shared" si="110"/>
        <v/>
      </c>
      <c r="AC1369" s="170" t="str">
        <f t="shared" si="111"/>
        <v/>
      </c>
      <c r="AD1369" s="170" t="str">
        <f t="shared" si="112"/>
        <v/>
      </c>
    </row>
    <row r="1370" spans="1:30" s="170" customFormat="1" ht="20.399999999999999">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109"/>
        <v/>
      </c>
      <c r="T1370" s="155" t="str">
        <f ca="1">IF(B1370="","",IF(ISERROR(MATCH($J1370,SorP!$B$1:$B$6226,0)),"",INDIRECT("'SorP'!$A$"&amp;MATCH($S1370&amp;$J1370,SorP!C:C,0))))</f>
        <v/>
      </c>
      <c r="U1370" s="168"/>
      <c r="V1370" s="169" t="e">
        <f>IF(C1370="",NA(),MATCH($B1370&amp;$C1370,'Smelter Look-up'!$J:$J,0))</f>
        <v>#N/A</v>
      </c>
      <c r="X1370" s="170">
        <f t="shared" ca="1" si="108"/>
        <v>0</v>
      </c>
      <c r="AB1370" s="313" t="str">
        <f t="shared" si="110"/>
        <v/>
      </c>
      <c r="AC1370" s="170" t="str">
        <f t="shared" si="111"/>
        <v/>
      </c>
      <c r="AD1370" s="170" t="str">
        <f t="shared" si="112"/>
        <v/>
      </c>
    </row>
    <row r="1371" spans="1:30" s="170" customFormat="1" ht="20.399999999999999">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109"/>
        <v/>
      </c>
      <c r="T1371" s="155" t="str">
        <f ca="1">IF(B1371="","",IF(ISERROR(MATCH($J1371,SorP!$B$1:$B$6226,0)),"",INDIRECT("'SorP'!$A$"&amp;MATCH($S1371&amp;$J1371,SorP!C:C,0))))</f>
        <v/>
      </c>
      <c r="U1371" s="168"/>
      <c r="V1371" s="169" t="e">
        <f>IF(C1371="",NA(),MATCH($B1371&amp;$C1371,'Smelter Look-up'!$J:$J,0))</f>
        <v>#N/A</v>
      </c>
      <c r="X1371" s="170">
        <f t="shared" ca="1" si="108"/>
        <v>0</v>
      </c>
      <c r="AB1371" s="313" t="str">
        <f t="shared" si="110"/>
        <v/>
      </c>
      <c r="AC1371" s="170" t="str">
        <f t="shared" si="111"/>
        <v/>
      </c>
      <c r="AD1371" s="170" t="str">
        <f t="shared" si="112"/>
        <v/>
      </c>
    </row>
    <row r="1372" spans="1:30" s="170" customFormat="1" ht="20.399999999999999">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109"/>
        <v/>
      </c>
      <c r="T1372" s="155" t="str">
        <f ca="1">IF(B1372="","",IF(ISERROR(MATCH($J1372,SorP!$B$1:$B$6226,0)),"",INDIRECT("'SorP'!$A$"&amp;MATCH($S1372&amp;$J1372,SorP!C:C,0))))</f>
        <v/>
      </c>
      <c r="U1372" s="168"/>
      <c r="V1372" s="169" t="e">
        <f>IF(C1372="",NA(),MATCH($B1372&amp;$C1372,'Smelter Look-up'!$J:$J,0))</f>
        <v>#N/A</v>
      </c>
      <c r="X1372" s="170">
        <f t="shared" ca="1" si="108"/>
        <v>0</v>
      </c>
      <c r="AB1372" s="313" t="str">
        <f t="shared" si="110"/>
        <v/>
      </c>
      <c r="AC1372" s="170" t="str">
        <f t="shared" si="111"/>
        <v/>
      </c>
      <c r="AD1372" s="170" t="str">
        <f t="shared" si="112"/>
        <v/>
      </c>
    </row>
    <row r="1373" spans="1:30" s="170" customFormat="1" ht="20.399999999999999">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109"/>
        <v/>
      </c>
      <c r="T1373" s="155" t="str">
        <f ca="1">IF(B1373="","",IF(ISERROR(MATCH($J1373,SorP!$B$1:$B$6226,0)),"",INDIRECT("'SorP'!$A$"&amp;MATCH($S1373&amp;$J1373,SorP!C:C,0))))</f>
        <v/>
      </c>
      <c r="U1373" s="168"/>
      <c r="V1373" s="169" t="e">
        <f>IF(C1373="",NA(),MATCH($B1373&amp;$C1373,'Smelter Look-up'!$J:$J,0))</f>
        <v>#N/A</v>
      </c>
      <c r="X1373" s="170">
        <f t="shared" ca="1" si="108"/>
        <v>0</v>
      </c>
      <c r="AB1373" s="313" t="str">
        <f t="shared" si="110"/>
        <v/>
      </c>
      <c r="AC1373" s="170" t="str">
        <f t="shared" si="111"/>
        <v/>
      </c>
      <c r="AD1373" s="170" t="str">
        <f t="shared" si="112"/>
        <v/>
      </c>
    </row>
    <row r="1374" spans="1:30" s="170" customFormat="1" ht="20.399999999999999">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109"/>
        <v/>
      </c>
      <c r="T1374" s="155" t="str">
        <f ca="1">IF(B1374="","",IF(ISERROR(MATCH($J1374,SorP!$B$1:$B$6226,0)),"",INDIRECT("'SorP'!$A$"&amp;MATCH($S1374&amp;$J1374,SorP!C:C,0))))</f>
        <v/>
      </c>
      <c r="U1374" s="168"/>
      <c r="V1374" s="169" t="e">
        <f>IF(C1374="",NA(),MATCH($B1374&amp;$C1374,'Smelter Look-up'!$J:$J,0))</f>
        <v>#N/A</v>
      </c>
      <c r="X1374" s="170">
        <f t="shared" ca="1" si="108"/>
        <v>0</v>
      </c>
      <c r="AB1374" s="313" t="str">
        <f t="shared" si="110"/>
        <v/>
      </c>
      <c r="AC1374" s="170" t="str">
        <f t="shared" si="111"/>
        <v/>
      </c>
      <c r="AD1374" s="170" t="str">
        <f t="shared" si="112"/>
        <v/>
      </c>
    </row>
    <row r="1375" spans="1:30" s="170" customFormat="1" ht="20.399999999999999">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109"/>
        <v/>
      </c>
      <c r="T1375" s="155" t="str">
        <f ca="1">IF(B1375="","",IF(ISERROR(MATCH($J1375,SorP!$B$1:$B$6226,0)),"",INDIRECT("'SorP'!$A$"&amp;MATCH($S1375&amp;$J1375,SorP!C:C,0))))</f>
        <v/>
      </c>
      <c r="U1375" s="168"/>
      <c r="V1375" s="169" t="e">
        <f>IF(C1375="",NA(),MATCH($B1375&amp;$C1375,'Smelter Look-up'!$J:$J,0))</f>
        <v>#N/A</v>
      </c>
      <c r="X1375" s="170">
        <f t="shared" ca="1" si="108"/>
        <v>0</v>
      </c>
      <c r="AB1375" s="313" t="str">
        <f t="shared" si="110"/>
        <v/>
      </c>
      <c r="AC1375" s="170" t="str">
        <f t="shared" si="111"/>
        <v/>
      </c>
      <c r="AD1375" s="170" t="str">
        <f t="shared" si="112"/>
        <v/>
      </c>
    </row>
    <row r="1376" spans="1:30" s="170" customFormat="1" ht="20.399999999999999">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109"/>
        <v/>
      </c>
      <c r="T1376" s="155" t="str">
        <f ca="1">IF(B1376="","",IF(ISERROR(MATCH($J1376,SorP!$B$1:$B$6226,0)),"",INDIRECT("'SorP'!$A$"&amp;MATCH($S1376&amp;$J1376,SorP!C:C,0))))</f>
        <v/>
      </c>
      <c r="U1376" s="168"/>
      <c r="V1376" s="169" t="e">
        <f>IF(C1376="",NA(),MATCH($B1376&amp;$C1376,'Smelter Look-up'!$J:$J,0))</f>
        <v>#N/A</v>
      </c>
      <c r="X1376" s="170">
        <f t="shared" ca="1" si="108"/>
        <v>0</v>
      </c>
      <c r="AB1376" s="313" t="str">
        <f t="shared" si="110"/>
        <v/>
      </c>
      <c r="AC1376" s="170" t="str">
        <f t="shared" si="111"/>
        <v/>
      </c>
      <c r="AD1376" s="170" t="str">
        <f t="shared" si="112"/>
        <v/>
      </c>
    </row>
    <row r="1377" spans="1:30" s="170" customFormat="1" ht="20.399999999999999">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109"/>
        <v/>
      </c>
      <c r="T1377" s="155" t="str">
        <f ca="1">IF(B1377="","",IF(ISERROR(MATCH($J1377,SorP!$B$1:$B$6226,0)),"",INDIRECT("'SorP'!$A$"&amp;MATCH($S1377&amp;$J1377,SorP!C:C,0))))</f>
        <v/>
      </c>
      <c r="U1377" s="168"/>
      <c r="V1377" s="169" t="e">
        <f>IF(C1377="",NA(),MATCH($B1377&amp;$C1377,'Smelter Look-up'!$J:$J,0))</f>
        <v>#N/A</v>
      </c>
      <c r="X1377" s="170">
        <f t="shared" ca="1" si="108"/>
        <v>0</v>
      </c>
      <c r="AB1377" s="313" t="str">
        <f t="shared" si="110"/>
        <v/>
      </c>
      <c r="AC1377" s="170" t="str">
        <f t="shared" si="111"/>
        <v/>
      </c>
      <c r="AD1377" s="170" t="str">
        <f t="shared" si="112"/>
        <v/>
      </c>
    </row>
    <row r="1378" spans="1:30" s="170" customFormat="1" ht="20.399999999999999">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109"/>
        <v/>
      </c>
      <c r="T1378" s="155" t="str">
        <f ca="1">IF(B1378="","",IF(ISERROR(MATCH($J1378,SorP!$B$1:$B$6226,0)),"",INDIRECT("'SorP'!$A$"&amp;MATCH($S1378&amp;$J1378,SorP!C:C,0))))</f>
        <v/>
      </c>
      <c r="U1378" s="168"/>
      <c r="V1378" s="169" t="e">
        <f>IF(C1378="",NA(),MATCH($B1378&amp;$C1378,'Smelter Look-up'!$J:$J,0))</f>
        <v>#N/A</v>
      </c>
      <c r="X1378" s="170">
        <f t="shared" ca="1" si="108"/>
        <v>0</v>
      </c>
      <c r="AB1378" s="313" t="str">
        <f t="shared" si="110"/>
        <v/>
      </c>
      <c r="AC1378" s="170" t="str">
        <f t="shared" si="111"/>
        <v/>
      </c>
      <c r="AD1378" s="170" t="str">
        <f t="shared" si="112"/>
        <v/>
      </c>
    </row>
    <row r="1379" spans="1:30" s="170" customFormat="1" ht="20.399999999999999">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109"/>
        <v/>
      </c>
      <c r="T1379" s="155" t="str">
        <f ca="1">IF(B1379="","",IF(ISERROR(MATCH($J1379,SorP!$B$1:$B$6226,0)),"",INDIRECT("'SorP'!$A$"&amp;MATCH($S1379&amp;$J1379,SorP!C:C,0))))</f>
        <v/>
      </c>
      <c r="U1379" s="168"/>
      <c r="V1379" s="169" t="e">
        <f>IF(C1379="",NA(),MATCH($B1379&amp;$C1379,'Smelter Look-up'!$J:$J,0))</f>
        <v>#N/A</v>
      </c>
      <c r="X1379" s="170">
        <f t="shared" ca="1" si="108"/>
        <v>0</v>
      </c>
      <c r="AB1379" s="313" t="str">
        <f t="shared" si="110"/>
        <v/>
      </c>
      <c r="AC1379" s="170" t="str">
        <f t="shared" si="111"/>
        <v/>
      </c>
      <c r="AD1379" s="170" t="str">
        <f t="shared" si="112"/>
        <v/>
      </c>
    </row>
    <row r="1380" spans="1:30" s="170" customFormat="1" ht="20.399999999999999">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109"/>
        <v/>
      </c>
      <c r="T1380" s="155" t="str">
        <f ca="1">IF(B1380="","",IF(ISERROR(MATCH($J1380,SorP!$B$1:$B$6226,0)),"",INDIRECT("'SorP'!$A$"&amp;MATCH($S1380&amp;$J1380,SorP!C:C,0))))</f>
        <v/>
      </c>
      <c r="U1380" s="168"/>
      <c r="V1380" s="169" t="e">
        <f>IF(C1380="",NA(),MATCH($B1380&amp;$C1380,'Smelter Look-up'!$J:$J,0))</f>
        <v>#N/A</v>
      </c>
      <c r="X1380" s="170">
        <f t="shared" ca="1" si="108"/>
        <v>0</v>
      </c>
      <c r="AB1380" s="313" t="str">
        <f t="shared" si="110"/>
        <v/>
      </c>
      <c r="AC1380" s="170" t="str">
        <f t="shared" si="111"/>
        <v/>
      </c>
      <c r="AD1380" s="170" t="str">
        <f t="shared" si="112"/>
        <v/>
      </c>
    </row>
    <row r="1381" spans="1:30" s="170" customFormat="1" ht="20.399999999999999">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109"/>
        <v/>
      </c>
      <c r="T1381" s="155" t="str">
        <f ca="1">IF(B1381="","",IF(ISERROR(MATCH($J1381,SorP!$B$1:$B$6226,0)),"",INDIRECT("'SorP'!$A$"&amp;MATCH($S1381&amp;$J1381,SorP!C:C,0))))</f>
        <v/>
      </c>
      <c r="U1381" s="168"/>
      <c r="V1381" s="169" t="e">
        <f>IF(C1381="",NA(),MATCH($B1381&amp;$C1381,'Smelter Look-up'!$J:$J,0))</f>
        <v>#N/A</v>
      </c>
      <c r="X1381" s="170">
        <f t="shared" ca="1" si="108"/>
        <v>0</v>
      </c>
      <c r="AB1381" s="313" t="str">
        <f t="shared" si="110"/>
        <v/>
      </c>
      <c r="AC1381" s="170" t="str">
        <f t="shared" si="111"/>
        <v/>
      </c>
      <c r="AD1381" s="170" t="str">
        <f t="shared" si="112"/>
        <v/>
      </c>
    </row>
    <row r="1382" spans="1:30" s="170" customFormat="1" ht="20.399999999999999">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109"/>
        <v/>
      </c>
      <c r="T1382" s="155" t="str">
        <f ca="1">IF(B1382="","",IF(ISERROR(MATCH($J1382,SorP!$B$1:$B$6226,0)),"",INDIRECT("'SorP'!$A$"&amp;MATCH($S1382&amp;$J1382,SorP!C:C,0))))</f>
        <v/>
      </c>
      <c r="U1382" s="168"/>
      <c r="V1382" s="169" t="e">
        <f>IF(C1382="",NA(),MATCH($B1382&amp;$C1382,'Smelter Look-up'!$J:$J,0))</f>
        <v>#N/A</v>
      </c>
      <c r="X1382" s="170">
        <f t="shared" ca="1" si="108"/>
        <v>0</v>
      </c>
      <c r="AB1382" s="313" t="str">
        <f t="shared" si="110"/>
        <v/>
      </c>
      <c r="AC1382" s="170" t="str">
        <f t="shared" si="111"/>
        <v/>
      </c>
      <c r="AD1382" s="170" t="str">
        <f t="shared" si="112"/>
        <v/>
      </c>
    </row>
    <row r="1383" spans="1:30" s="170" customFormat="1" ht="20.399999999999999">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109"/>
        <v/>
      </c>
      <c r="T1383" s="155" t="str">
        <f ca="1">IF(B1383="","",IF(ISERROR(MATCH($J1383,SorP!$B$1:$B$6226,0)),"",INDIRECT("'SorP'!$A$"&amp;MATCH($S1383&amp;$J1383,SorP!C:C,0))))</f>
        <v/>
      </c>
      <c r="U1383" s="168"/>
      <c r="V1383" s="169" t="e">
        <f>IF(C1383="",NA(),MATCH($B1383&amp;$C1383,'Smelter Look-up'!$J:$J,0))</f>
        <v>#N/A</v>
      </c>
      <c r="X1383" s="170">
        <f t="shared" ca="1" si="108"/>
        <v>0</v>
      </c>
      <c r="AB1383" s="313" t="str">
        <f t="shared" si="110"/>
        <v/>
      </c>
      <c r="AC1383" s="170" t="str">
        <f t="shared" si="111"/>
        <v/>
      </c>
      <c r="AD1383" s="170" t="str">
        <f t="shared" si="112"/>
        <v/>
      </c>
    </row>
    <row r="1384" spans="1:30" s="170" customFormat="1" ht="20.399999999999999">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109"/>
        <v/>
      </c>
      <c r="T1384" s="155" t="str">
        <f ca="1">IF(B1384="","",IF(ISERROR(MATCH($J1384,SorP!$B$1:$B$6226,0)),"",INDIRECT("'SorP'!$A$"&amp;MATCH($S1384&amp;$J1384,SorP!C:C,0))))</f>
        <v/>
      </c>
      <c r="U1384" s="168"/>
      <c r="V1384" s="169" t="e">
        <f>IF(C1384="",NA(),MATCH($B1384&amp;$C1384,'Smelter Look-up'!$J:$J,0))</f>
        <v>#N/A</v>
      </c>
      <c r="X1384" s="170">
        <f t="shared" ca="1" si="108"/>
        <v>0</v>
      </c>
      <c r="AB1384" s="313" t="str">
        <f t="shared" si="110"/>
        <v/>
      </c>
      <c r="AC1384" s="170" t="str">
        <f t="shared" si="111"/>
        <v/>
      </c>
      <c r="AD1384" s="170" t="str">
        <f t="shared" si="112"/>
        <v/>
      </c>
    </row>
    <row r="1385" spans="1:30" s="170" customFormat="1" ht="20.399999999999999">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109"/>
        <v/>
      </c>
      <c r="T1385" s="155" t="str">
        <f ca="1">IF(B1385="","",IF(ISERROR(MATCH($J1385,SorP!$B$1:$B$6226,0)),"",INDIRECT("'SorP'!$A$"&amp;MATCH($S1385&amp;$J1385,SorP!C:C,0))))</f>
        <v/>
      </c>
      <c r="U1385" s="168"/>
      <c r="V1385" s="169" t="e">
        <f>IF(C1385="",NA(),MATCH($B1385&amp;$C1385,'Smelter Look-up'!$J:$J,0))</f>
        <v>#N/A</v>
      </c>
      <c r="X1385" s="170">
        <f t="shared" ca="1" si="108"/>
        <v>0</v>
      </c>
      <c r="AB1385" s="313" t="str">
        <f t="shared" si="110"/>
        <v/>
      </c>
      <c r="AC1385" s="170" t="str">
        <f t="shared" si="111"/>
        <v/>
      </c>
      <c r="AD1385" s="170" t="str">
        <f t="shared" si="112"/>
        <v/>
      </c>
    </row>
    <row r="1386" spans="1:30" s="170" customFormat="1" ht="20.399999999999999">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109"/>
        <v/>
      </c>
      <c r="T1386" s="155" t="str">
        <f ca="1">IF(B1386="","",IF(ISERROR(MATCH($J1386,SorP!$B$1:$B$6226,0)),"",INDIRECT("'SorP'!$A$"&amp;MATCH($S1386&amp;$J1386,SorP!C:C,0))))</f>
        <v/>
      </c>
      <c r="U1386" s="168"/>
      <c r="V1386" s="169" t="e">
        <f>IF(C1386="",NA(),MATCH($B1386&amp;$C1386,'Smelter Look-up'!$J:$J,0))</f>
        <v>#N/A</v>
      </c>
      <c r="X1386" s="170">
        <f t="shared" ca="1" si="108"/>
        <v>0</v>
      </c>
      <c r="AB1386" s="313" t="str">
        <f t="shared" si="110"/>
        <v/>
      </c>
      <c r="AC1386" s="170" t="str">
        <f t="shared" si="111"/>
        <v/>
      </c>
      <c r="AD1386" s="170" t="str">
        <f t="shared" si="112"/>
        <v/>
      </c>
    </row>
    <row r="1387" spans="1:30" s="170" customFormat="1" ht="20.399999999999999">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109"/>
        <v/>
      </c>
      <c r="T1387" s="155" t="str">
        <f ca="1">IF(B1387="","",IF(ISERROR(MATCH($J1387,SorP!$B$1:$B$6226,0)),"",INDIRECT("'SorP'!$A$"&amp;MATCH($S1387&amp;$J1387,SorP!C:C,0))))</f>
        <v/>
      </c>
      <c r="U1387" s="168"/>
      <c r="V1387" s="169" t="e">
        <f>IF(C1387="",NA(),MATCH($B1387&amp;$C1387,'Smelter Look-up'!$J:$J,0))</f>
        <v>#N/A</v>
      </c>
      <c r="X1387" s="170">
        <f t="shared" ca="1" si="108"/>
        <v>0</v>
      </c>
      <c r="AB1387" s="313" t="str">
        <f t="shared" si="110"/>
        <v/>
      </c>
      <c r="AC1387" s="170" t="str">
        <f t="shared" si="111"/>
        <v/>
      </c>
      <c r="AD1387" s="170" t="str">
        <f t="shared" si="112"/>
        <v/>
      </c>
    </row>
    <row r="1388" spans="1:30" s="170" customFormat="1" ht="20.399999999999999">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109"/>
        <v/>
      </c>
      <c r="T1388" s="155" t="str">
        <f ca="1">IF(B1388="","",IF(ISERROR(MATCH($J1388,SorP!$B$1:$B$6226,0)),"",INDIRECT("'SorP'!$A$"&amp;MATCH($S1388&amp;$J1388,SorP!C:C,0))))</f>
        <v/>
      </c>
      <c r="U1388" s="168"/>
      <c r="V1388" s="169" t="e">
        <f>IF(C1388="",NA(),MATCH($B1388&amp;$C1388,'Smelter Look-up'!$J:$J,0))</f>
        <v>#N/A</v>
      </c>
      <c r="X1388" s="170">
        <f t="shared" ca="1" si="108"/>
        <v>0</v>
      </c>
      <c r="AB1388" s="313" t="str">
        <f t="shared" si="110"/>
        <v/>
      </c>
      <c r="AC1388" s="170" t="str">
        <f t="shared" si="111"/>
        <v/>
      </c>
      <c r="AD1388" s="170" t="str">
        <f t="shared" si="112"/>
        <v/>
      </c>
    </row>
    <row r="1389" spans="1:30" s="170" customFormat="1" ht="20.399999999999999">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109"/>
        <v/>
      </c>
      <c r="T1389" s="155" t="str">
        <f ca="1">IF(B1389="","",IF(ISERROR(MATCH($J1389,SorP!$B$1:$B$6226,0)),"",INDIRECT("'SorP'!$A$"&amp;MATCH($S1389&amp;$J1389,SorP!C:C,0))))</f>
        <v/>
      </c>
      <c r="U1389" s="168"/>
      <c r="V1389" s="169" t="e">
        <f>IF(C1389="",NA(),MATCH($B1389&amp;$C1389,'Smelter Look-up'!$J:$J,0))</f>
        <v>#N/A</v>
      </c>
      <c r="X1389" s="170">
        <f t="shared" ca="1" si="108"/>
        <v>0</v>
      </c>
      <c r="AB1389" s="313" t="str">
        <f t="shared" si="110"/>
        <v/>
      </c>
      <c r="AC1389" s="170" t="str">
        <f t="shared" si="111"/>
        <v/>
      </c>
      <c r="AD1389" s="170" t="str">
        <f t="shared" si="112"/>
        <v/>
      </c>
    </row>
    <row r="1390" spans="1:30" s="170" customFormat="1" ht="20.399999999999999">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109"/>
        <v/>
      </c>
      <c r="T1390" s="155" t="str">
        <f ca="1">IF(B1390="","",IF(ISERROR(MATCH($J1390,SorP!$B$1:$B$6226,0)),"",INDIRECT("'SorP'!$A$"&amp;MATCH($S1390&amp;$J1390,SorP!C:C,0))))</f>
        <v/>
      </c>
      <c r="U1390" s="168"/>
      <c r="V1390" s="169" t="e">
        <f>IF(C1390="",NA(),MATCH($B1390&amp;$C1390,'Smelter Look-up'!$J:$J,0))</f>
        <v>#N/A</v>
      </c>
      <c r="X1390" s="170">
        <f t="shared" ca="1" si="108"/>
        <v>0</v>
      </c>
      <c r="AB1390" s="313" t="str">
        <f t="shared" si="110"/>
        <v/>
      </c>
      <c r="AC1390" s="170" t="str">
        <f t="shared" si="111"/>
        <v/>
      </c>
      <c r="AD1390" s="170" t="str">
        <f t="shared" si="112"/>
        <v/>
      </c>
    </row>
    <row r="1391" spans="1:30" s="170" customFormat="1" ht="20.399999999999999">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109"/>
        <v/>
      </c>
      <c r="T1391" s="155" t="str">
        <f ca="1">IF(B1391="","",IF(ISERROR(MATCH($J1391,SorP!$B$1:$B$6226,0)),"",INDIRECT("'SorP'!$A$"&amp;MATCH($S1391&amp;$J1391,SorP!C:C,0))))</f>
        <v/>
      </c>
      <c r="U1391" s="168"/>
      <c r="V1391" s="169" t="e">
        <f>IF(C1391="",NA(),MATCH($B1391&amp;$C1391,'Smelter Look-up'!$J:$J,0))</f>
        <v>#N/A</v>
      </c>
      <c r="X1391" s="170">
        <f t="shared" ca="1" si="108"/>
        <v>0</v>
      </c>
      <c r="AB1391" s="313" t="str">
        <f t="shared" si="110"/>
        <v/>
      </c>
      <c r="AC1391" s="170" t="str">
        <f t="shared" si="111"/>
        <v/>
      </c>
      <c r="AD1391" s="170" t="str">
        <f t="shared" si="112"/>
        <v/>
      </c>
    </row>
    <row r="1392" spans="1:30" s="170" customFormat="1" ht="20.399999999999999">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109"/>
        <v/>
      </c>
      <c r="T1392" s="155" t="str">
        <f ca="1">IF(B1392="","",IF(ISERROR(MATCH($J1392,SorP!$B$1:$B$6226,0)),"",INDIRECT("'SorP'!$A$"&amp;MATCH($S1392&amp;$J1392,SorP!C:C,0))))</f>
        <v/>
      </c>
      <c r="U1392" s="168"/>
      <c r="V1392" s="169" t="e">
        <f>IF(C1392="",NA(),MATCH($B1392&amp;$C1392,'Smelter Look-up'!$J:$J,0))</f>
        <v>#N/A</v>
      </c>
      <c r="X1392" s="170">
        <f t="shared" ca="1" si="108"/>
        <v>0</v>
      </c>
      <c r="AB1392" s="313" t="str">
        <f t="shared" si="110"/>
        <v/>
      </c>
      <c r="AC1392" s="170" t="str">
        <f t="shared" si="111"/>
        <v/>
      </c>
      <c r="AD1392" s="170" t="str">
        <f t="shared" si="112"/>
        <v/>
      </c>
    </row>
    <row r="1393" spans="1:30" s="170" customFormat="1" ht="20.399999999999999">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109"/>
        <v/>
      </c>
      <c r="T1393" s="155" t="str">
        <f ca="1">IF(B1393="","",IF(ISERROR(MATCH($J1393,SorP!$B$1:$B$6226,0)),"",INDIRECT("'SorP'!$A$"&amp;MATCH($S1393&amp;$J1393,SorP!C:C,0))))</f>
        <v/>
      </c>
      <c r="U1393" s="168"/>
      <c r="V1393" s="169" t="e">
        <f>IF(C1393="",NA(),MATCH($B1393&amp;$C1393,'Smelter Look-up'!$J:$J,0))</f>
        <v>#N/A</v>
      </c>
      <c r="X1393" s="170">
        <f t="shared" ca="1" si="108"/>
        <v>0</v>
      </c>
      <c r="AB1393" s="313" t="str">
        <f t="shared" si="110"/>
        <v/>
      </c>
      <c r="AC1393" s="170" t="str">
        <f t="shared" si="111"/>
        <v/>
      </c>
      <c r="AD1393" s="170" t="str">
        <f t="shared" si="112"/>
        <v/>
      </c>
    </row>
    <row r="1394" spans="1:30" s="170" customFormat="1" ht="20.399999999999999">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109"/>
        <v/>
      </c>
      <c r="T1394" s="155" t="str">
        <f ca="1">IF(B1394="","",IF(ISERROR(MATCH($J1394,SorP!$B$1:$B$6226,0)),"",INDIRECT("'SorP'!$A$"&amp;MATCH($S1394&amp;$J1394,SorP!C:C,0))))</f>
        <v/>
      </c>
      <c r="U1394" s="168"/>
      <c r="V1394" s="169" t="e">
        <f>IF(C1394="",NA(),MATCH($B1394&amp;$C1394,'Smelter Look-up'!$J:$J,0))</f>
        <v>#N/A</v>
      </c>
      <c r="X1394" s="170">
        <f t="shared" ca="1" si="108"/>
        <v>0</v>
      </c>
      <c r="AB1394" s="313" t="str">
        <f t="shared" si="110"/>
        <v/>
      </c>
      <c r="AC1394" s="170" t="str">
        <f t="shared" si="111"/>
        <v/>
      </c>
      <c r="AD1394" s="170" t="str">
        <f t="shared" si="112"/>
        <v/>
      </c>
    </row>
    <row r="1395" spans="1:30" s="170" customFormat="1" ht="20.399999999999999">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109"/>
        <v/>
      </c>
      <c r="T1395" s="155" t="str">
        <f ca="1">IF(B1395="","",IF(ISERROR(MATCH($J1395,SorP!$B$1:$B$6226,0)),"",INDIRECT("'SorP'!$A$"&amp;MATCH($S1395&amp;$J1395,SorP!C:C,0))))</f>
        <v/>
      </c>
      <c r="U1395" s="168"/>
      <c r="V1395" s="169" t="e">
        <f>IF(C1395="",NA(),MATCH($B1395&amp;$C1395,'Smelter Look-up'!$J:$J,0))</f>
        <v>#N/A</v>
      </c>
      <c r="X1395" s="170">
        <f t="shared" ca="1" si="108"/>
        <v>0</v>
      </c>
      <c r="AB1395" s="313" t="str">
        <f t="shared" si="110"/>
        <v/>
      </c>
      <c r="AC1395" s="170" t="str">
        <f t="shared" si="111"/>
        <v/>
      </c>
      <c r="AD1395" s="170" t="str">
        <f t="shared" si="112"/>
        <v/>
      </c>
    </row>
    <row r="1396" spans="1:30" s="170" customFormat="1" ht="20.399999999999999">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109"/>
        <v/>
      </c>
      <c r="T1396" s="155" t="str">
        <f ca="1">IF(B1396="","",IF(ISERROR(MATCH($J1396,SorP!$B$1:$B$6226,0)),"",INDIRECT("'SorP'!$A$"&amp;MATCH($S1396&amp;$J1396,SorP!C:C,0))))</f>
        <v/>
      </c>
      <c r="U1396" s="168"/>
      <c r="V1396" s="169" t="e">
        <f>IF(C1396="",NA(),MATCH($B1396&amp;$C1396,'Smelter Look-up'!$J:$J,0))</f>
        <v>#N/A</v>
      </c>
      <c r="X1396" s="170">
        <f t="shared" ca="1" si="108"/>
        <v>0</v>
      </c>
      <c r="AB1396" s="313" t="str">
        <f t="shared" si="110"/>
        <v/>
      </c>
      <c r="AC1396" s="170" t="str">
        <f t="shared" si="111"/>
        <v/>
      </c>
      <c r="AD1396" s="170" t="str">
        <f t="shared" si="112"/>
        <v/>
      </c>
    </row>
    <row r="1397" spans="1:30" s="170" customFormat="1" ht="20.399999999999999">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109"/>
        <v/>
      </c>
      <c r="T1397" s="155" t="str">
        <f ca="1">IF(B1397="","",IF(ISERROR(MATCH($J1397,SorP!$B$1:$B$6226,0)),"",INDIRECT("'SorP'!$A$"&amp;MATCH($S1397&amp;$J1397,SorP!C:C,0))))</f>
        <v/>
      </c>
      <c r="U1397" s="168"/>
      <c r="V1397" s="169" t="e">
        <f>IF(C1397="",NA(),MATCH($B1397&amp;$C1397,'Smelter Look-up'!$J:$J,0))</f>
        <v>#N/A</v>
      </c>
      <c r="X1397" s="170">
        <f t="shared" ca="1" si="108"/>
        <v>0</v>
      </c>
      <c r="AB1397" s="313" t="str">
        <f t="shared" si="110"/>
        <v/>
      </c>
      <c r="AC1397" s="170" t="str">
        <f t="shared" si="111"/>
        <v/>
      </c>
      <c r="AD1397" s="170" t="str">
        <f t="shared" si="112"/>
        <v/>
      </c>
    </row>
    <row r="1398" spans="1:30" s="170" customFormat="1" ht="20.399999999999999">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109"/>
        <v/>
      </c>
      <c r="T1398" s="155" t="str">
        <f ca="1">IF(B1398="","",IF(ISERROR(MATCH($J1398,SorP!$B$1:$B$6226,0)),"",INDIRECT("'SorP'!$A$"&amp;MATCH($S1398&amp;$J1398,SorP!C:C,0))))</f>
        <v/>
      </c>
      <c r="U1398" s="168"/>
      <c r="V1398" s="169" t="e">
        <f>IF(C1398="",NA(),MATCH($B1398&amp;$C1398,'Smelter Look-up'!$J:$J,0))</f>
        <v>#N/A</v>
      </c>
      <c r="X1398" s="170">
        <f t="shared" ca="1" si="108"/>
        <v>0</v>
      </c>
      <c r="AB1398" s="313" t="str">
        <f t="shared" si="110"/>
        <v/>
      </c>
      <c r="AC1398" s="170" t="str">
        <f t="shared" si="111"/>
        <v/>
      </c>
      <c r="AD1398" s="170" t="str">
        <f t="shared" si="112"/>
        <v/>
      </c>
    </row>
    <row r="1399" spans="1:30" s="170" customFormat="1" ht="20.399999999999999">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109"/>
        <v/>
      </c>
      <c r="T1399" s="155" t="str">
        <f ca="1">IF(B1399="","",IF(ISERROR(MATCH($J1399,SorP!$B$1:$B$6226,0)),"",INDIRECT("'SorP'!$A$"&amp;MATCH($S1399&amp;$J1399,SorP!C:C,0))))</f>
        <v/>
      </c>
      <c r="U1399" s="168"/>
      <c r="V1399" s="169" t="e">
        <f>IF(C1399="",NA(),MATCH($B1399&amp;$C1399,'Smelter Look-up'!$J:$J,0))</f>
        <v>#N/A</v>
      </c>
      <c r="X1399" s="170">
        <f t="shared" ca="1" si="108"/>
        <v>0</v>
      </c>
      <c r="AB1399" s="313" t="str">
        <f t="shared" si="110"/>
        <v/>
      </c>
      <c r="AC1399" s="170" t="str">
        <f t="shared" si="111"/>
        <v/>
      </c>
      <c r="AD1399" s="170" t="str">
        <f t="shared" si="112"/>
        <v/>
      </c>
    </row>
    <row r="1400" spans="1:30" s="170" customFormat="1" ht="20.399999999999999">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109"/>
        <v/>
      </c>
      <c r="T1400" s="155" t="str">
        <f ca="1">IF(B1400="","",IF(ISERROR(MATCH($J1400,SorP!$B$1:$B$6226,0)),"",INDIRECT("'SorP'!$A$"&amp;MATCH($S1400&amp;$J1400,SorP!C:C,0))))</f>
        <v/>
      </c>
      <c r="U1400" s="168"/>
      <c r="V1400" s="169" t="e">
        <f>IF(C1400="",NA(),MATCH($B1400&amp;$C1400,'Smelter Look-up'!$J:$J,0))</f>
        <v>#N/A</v>
      </c>
      <c r="X1400" s="170">
        <f t="shared" ca="1" si="108"/>
        <v>0</v>
      </c>
      <c r="AB1400" s="313" t="str">
        <f t="shared" si="110"/>
        <v/>
      </c>
      <c r="AC1400" s="170" t="str">
        <f t="shared" si="111"/>
        <v/>
      </c>
      <c r="AD1400" s="170" t="str">
        <f t="shared" si="112"/>
        <v/>
      </c>
    </row>
    <row r="1401" spans="1:30" s="170" customFormat="1" ht="20.399999999999999">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109"/>
        <v/>
      </c>
      <c r="T1401" s="155" t="str">
        <f ca="1">IF(B1401="","",IF(ISERROR(MATCH($J1401,SorP!$B$1:$B$6226,0)),"",INDIRECT("'SorP'!$A$"&amp;MATCH($S1401&amp;$J1401,SorP!C:C,0))))</f>
        <v/>
      </c>
      <c r="U1401" s="168"/>
      <c r="V1401" s="169" t="e">
        <f>IF(C1401="",NA(),MATCH($B1401&amp;$C1401,'Smelter Look-up'!$J:$J,0))</f>
        <v>#N/A</v>
      </c>
      <c r="X1401" s="170">
        <f t="shared" ca="1" si="108"/>
        <v>0</v>
      </c>
      <c r="AB1401" s="313" t="str">
        <f t="shared" si="110"/>
        <v/>
      </c>
      <c r="AC1401" s="170" t="str">
        <f t="shared" si="111"/>
        <v/>
      </c>
      <c r="AD1401" s="170" t="str">
        <f t="shared" si="112"/>
        <v/>
      </c>
    </row>
    <row r="1402" spans="1:30" s="170" customFormat="1" ht="20.399999999999999">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109"/>
        <v/>
      </c>
      <c r="T1402" s="155" t="str">
        <f ca="1">IF(B1402="","",IF(ISERROR(MATCH($J1402,SorP!$B$1:$B$6226,0)),"",INDIRECT("'SorP'!$A$"&amp;MATCH($S1402&amp;$J1402,SorP!C:C,0))))</f>
        <v/>
      </c>
      <c r="U1402" s="168"/>
      <c r="V1402" s="169" t="e">
        <f>IF(C1402="",NA(),MATCH($B1402&amp;$C1402,'Smelter Look-up'!$J:$J,0))</f>
        <v>#N/A</v>
      </c>
      <c r="X1402" s="170">
        <f t="shared" ca="1" si="108"/>
        <v>0</v>
      </c>
      <c r="AB1402" s="313" t="str">
        <f t="shared" si="110"/>
        <v/>
      </c>
      <c r="AC1402" s="170" t="str">
        <f t="shared" si="111"/>
        <v/>
      </c>
      <c r="AD1402" s="170" t="str">
        <f t="shared" si="112"/>
        <v/>
      </c>
    </row>
    <row r="1403" spans="1:30" s="170" customFormat="1" ht="20.399999999999999">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109"/>
        <v/>
      </c>
      <c r="T1403" s="155" t="str">
        <f ca="1">IF(B1403="","",IF(ISERROR(MATCH($J1403,SorP!$B$1:$B$6226,0)),"",INDIRECT("'SorP'!$A$"&amp;MATCH($S1403&amp;$J1403,SorP!C:C,0))))</f>
        <v/>
      </c>
      <c r="U1403" s="168"/>
      <c r="V1403" s="169" t="e">
        <f>IF(C1403="",NA(),MATCH($B1403&amp;$C1403,'Smelter Look-up'!$J:$J,0))</f>
        <v>#N/A</v>
      </c>
      <c r="X1403" s="170">
        <f t="shared" ca="1" si="108"/>
        <v>0</v>
      </c>
      <c r="AB1403" s="313" t="str">
        <f t="shared" si="110"/>
        <v/>
      </c>
      <c r="AC1403" s="170" t="str">
        <f t="shared" si="111"/>
        <v/>
      </c>
      <c r="AD1403" s="170" t="str">
        <f t="shared" si="112"/>
        <v/>
      </c>
    </row>
    <row r="1404" spans="1:30" s="170" customFormat="1" ht="20.399999999999999">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109"/>
        <v/>
      </c>
      <c r="T1404" s="155" t="str">
        <f ca="1">IF(B1404="","",IF(ISERROR(MATCH($J1404,SorP!$B$1:$B$6226,0)),"",INDIRECT("'SorP'!$A$"&amp;MATCH($S1404&amp;$J1404,SorP!C:C,0))))</f>
        <v/>
      </c>
      <c r="U1404" s="168"/>
      <c r="V1404" s="169" t="e">
        <f>IF(C1404="",NA(),MATCH($B1404&amp;$C1404,'Smelter Look-up'!$J:$J,0))</f>
        <v>#N/A</v>
      </c>
      <c r="X1404" s="170">
        <f t="shared" ca="1" si="108"/>
        <v>0</v>
      </c>
      <c r="AB1404" s="313" t="str">
        <f t="shared" si="110"/>
        <v/>
      </c>
      <c r="AC1404" s="170" t="str">
        <f t="shared" si="111"/>
        <v/>
      </c>
      <c r="AD1404" s="170" t="str">
        <f t="shared" si="112"/>
        <v/>
      </c>
    </row>
    <row r="1405" spans="1:30" s="170" customFormat="1" ht="20.399999999999999">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109"/>
        <v/>
      </c>
      <c r="T1405" s="155" t="str">
        <f ca="1">IF(B1405="","",IF(ISERROR(MATCH($J1405,SorP!$B$1:$B$6226,0)),"",INDIRECT("'SorP'!$A$"&amp;MATCH($S1405&amp;$J1405,SorP!C:C,0))))</f>
        <v/>
      </c>
      <c r="U1405" s="168"/>
      <c r="V1405" s="169" t="e">
        <f>IF(C1405="",NA(),MATCH($B1405&amp;$C1405,'Smelter Look-up'!$J:$J,0))</f>
        <v>#N/A</v>
      </c>
      <c r="X1405" s="170">
        <f t="shared" ca="1" si="108"/>
        <v>0</v>
      </c>
      <c r="AB1405" s="313" t="str">
        <f t="shared" si="110"/>
        <v/>
      </c>
      <c r="AC1405" s="170" t="str">
        <f t="shared" si="111"/>
        <v/>
      </c>
      <c r="AD1405" s="170" t="str">
        <f t="shared" si="112"/>
        <v/>
      </c>
    </row>
    <row r="1406" spans="1:30" s="170" customFormat="1" ht="20.399999999999999">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109"/>
        <v/>
      </c>
      <c r="T1406" s="155" t="str">
        <f ca="1">IF(B1406="","",IF(ISERROR(MATCH($J1406,SorP!$B$1:$B$6226,0)),"",INDIRECT("'SorP'!$A$"&amp;MATCH($S1406&amp;$J1406,SorP!C:C,0))))</f>
        <v/>
      </c>
      <c r="U1406" s="168"/>
      <c r="V1406" s="169" t="e">
        <f>IF(C1406="",NA(),MATCH($B1406&amp;$C1406,'Smelter Look-up'!$J:$J,0))</f>
        <v>#N/A</v>
      </c>
      <c r="X1406" s="170">
        <f t="shared" ca="1" si="108"/>
        <v>0</v>
      </c>
      <c r="AB1406" s="313" t="str">
        <f t="shared" si="110"/>
        <v/>
      </c>
      <c r="AC1406" s="170" t="str">
        <f t="shared" si="111"/>
        <v/>
      </c>
      <c r="AD1406" s="170" t="str">
        <f t="shared" si="112"/>
        <v/>
      </c>
    </row>
    <row r="1407" spans="1:30" s="170" customFormat="1" ht="20.399999999999999">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109"/>
        <v/>
      </c>
      <c r="T1407" s="155" t="str">
        <f ca="1">IF(B1407="","",IF(ISERROR(MATCH($J1407,SorP!$B$1:$B$6226,0)),"",INDIRECT("'SorP'!$A$"&amp;MATCH($S1407&amp;$J1407,SorP!C:C,0))))</f>
        <v/>
      </c>
      <c r="U1407" s="168"/>
      <c r="V1407" s="169" t="e">
        <f>IF(C1407="",NA(),MATCH($B1407&amp;$C1407,'Smelter Look-up'!$J:$J,0))</f>
        <v>#N/A</v>
      </c>
      <c r="X1407" s="170">
        <f t="shared" ref="X1407:X1470" ca="1" si="113">IF(AND(C1407="Smelter not listed",OR(LEN(D1407)=0,LEN(E1407)=0)),1,0)</f>
        <v>0</v>
      </c>
      <c r="AB1407" s="313" t="str">
        <f t="shared" si="110"/>
        <v/>
      </c>
      <c r="AC1407" s="170" t="str">
        <f t="shared" si="111"/>
        <v/>
      </c>
      <c r="AD1407" s="170" t="str">
        <f t="shared" si="112"/>
        <v/>
      </c>
    </row>
    <row r="1408" spans="1:30" s="170" customFormat="1" ht="20.399999999999999">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ref="S1408:S1471" ca="1" si="114">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113"/>
        <v>0</v>
      </c>
      <c r="AB1408" s="313" t="str">
        <f t="shared" si="110"/>
        <v/>
      </c>
      <c r="AC1408" s="170" t="str">
        <f t="shared" si="111"/>
        <v/>
      </c>
      <c r="AD1408" s="170" t="str">
        <f t="shared" si="112"/>
        <v/>
      </c>
    </row>
    <row r="1409" spans="1:30" s="170" customFormat="1" ht="20.399999999999999">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114"/>
        <v/>
      </c>
      <c r="T1409" s="155" t="str">
        <f ca="1">IF(B1409="","",IF(ISERROR(MATCH($J1409,SorP!$B$1:$B$6226,0)),"",INDIRECT("'SorP'!$A$"&amp;MATCH($S1409&amp;$J1409,SorP!C:C,0))))</f>
        <v/>
      </c>
      <c r="U1409" s="168"/>
      <c r="V1409" s="169" t="e">
        <f>IF(C1409="",NA(),MATCH($B1409&amp;$C1409,'Smelter Look-up'!$J:$J,0))</f>
        <v>#N/A</v>
      </c>
      <c r="X1409" s="170">
        <f t="shared" ca="1" si="113"/>
        <v>0</v>
      </c>
      <c r="AB1409" s="313" t="str">
        <f t="shared" si="110"/>
        <v/>
      </c>
      <c r="AC1409" s="170" t="str">
        <f t="shared" si="111"/>
        <v/>
      </c>
      <c r="AD1409" s="170" t="str">
        <f t="shared" si="112"/>
        <v/>
      </c>
    </row>
    <row r="1410" spans="1:30" s="170" customFormat="1" ht="20.399999999999999">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114"/>
        <v/>
      </c>
      <c r="T1410" s="155" t="str">
        <f ca="1">IF(B1410="","",IF(ISERROR(MATCH($J1410,SorP!$B$1:$B$6226,0)),"",INDIRECT("'SorP'!$A$"&amp;MATCH($S1410&amp;$J1410,SorP!C:C,0))))</f>
        <v/>
      </c>
      <c r="U1410" s="168"/>
      <c r="V1410" s="169" t="e">
        <f>IF(C1410="",NA(),MATCH($B1410&amp;$C1410,'Smelter Look-up'!$J:$J,0))</f>
        <v>#N/A</v>
      </c>
      <c r="X1410" s="170">
        <f t="shared" ca="1" si="113"/>
        <v>0</v>
      </c>
      <c r="AB1410" s="313" t="str">
        <f t="shared" si="110"/>
        <v/>
      </c>
      <c r="AC1410" s="170" t="str">
        <f t="shared" si="111"/>
        <v/>
      </c>
      <c r="AD1410" s="170" t="str">
        <f t="shared" si="112"/>
        <v/>
      </c>
    </row>
    <row r="1411" spans="1:30" s="170" customFormat="1" ht="20.399999999999999">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114"/>
        <v/>
      </c>
      <c r="T1411" s="155" t="str">
        <f ca="1">IF(B1411="","",IF(ISERROR(MATCH($J1411,SorP!$B$1:$B$6226,0)),"",INDIRECT("'SorP'!$A$"&amp;MATCH($S1411&amp;$J1411,SorP!C:C,0))))</f>
        <v/>
      </c>
      <c r="U1411" s="168"/>
      <c r="V1411" s="169" t="e">
        <f>IF(C1411="",NA(),MATCH($B1411&amp;$C1411,'Smelter Look-up'!$J:$J,0))</f>
        <v>#N/A</v>
      </c>
      <c r="X1411" s="170">
        <f t="shared" ca="1" si="113"/>
        <v>0</v>
      </c>
      <c r="AB1411" s="313" t="str">
        <f t="shared" si="110"/>
        <v/>
      </c>
      <c r="AC1411" s="170" t="str">
        <f t="shared" si="111"/>
        <v/>
      </c>
      <c r="AD1411" s="170" t="str">
        <f t="shared" si="112"/>
        <v/>
      </c>
    </row>
    <row r="1412" spans="1:30" s="170" customFormat="1" ht="20.399999999999999">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114"/>
        <v/>
      </c>
      <c r="T1412" s="155" t="str">
        <f ca="1">IF(B1412="","",IF(ISERROR(MATCH($J1412,SorP!$B$1:$B$6226,0)),"",INDIRECT("'SorP'!$A$"&amp;MATCH($S1412&amp;$J1412,SorP!C:C,0))))</f>
        <v/>
      </c>
      <c r="U1412" s="168"/>
      <c r="V1412" s="169" t="e">
        <f>IF(C1412="",NA(),MATCH($B1412&amp;$C1412,'Smelter Look-up'!$J:$J,0))</f>
        <v>#N/A</v>
      </c>
      <c r="X1412" s="170">
        <f t="shared" ca="1" si="113"/>
        <v>0</v>
      </c>
      <c r="AB1412" s="313" t="str">
        <f t="shared" si="110"/>
        <v/>
      </c>
      <c r="AC1412" s="170" t="str">
        <f t="shared" si="111"/>
        <v/>
      </c>
      <c r="AD1412" s="170" t="str">
        <f t="shared" si="112"/>
        <v/>
      </c>
    </row>
    <row r="1413" spans="1:30" s="170" customFormat="1" ht="20.399999999999999">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114"/>
        <v/>
      </c>
      <c r="T1413" s="155" t="str">
        <f ca="1">IF(B1413="","",IF(ISERROR(MATCH($J1413,SorP!$B$1:$B$6226,0)),"",INDIRECT("'SorP'!$A$"&amp;MATCH($S1413&amp;$J1413,SorP!C:C,0))))</f>
        <v/>
      </c>
      <c r="U1413" s="168"/>
      <c r="V1413" s="169" t="e">
        <f>IF(C1413="",NA(),MATCH($B1413&amp;$C1413,'Smelter Look-up'!$J:$J,0))</f>
        <v>#N/A</v>
      </c>
      <c r="X1413" s="170">
        <f t="shared" ca="1" si="113"/>
        <v>0</v>
      </c>
      <c r="AB1413" s="313" t="str">
        <f t="shared" si="110"/>
        <v/>
      </c>
      <c r="AC1413" s="170" t="str">
        <f t="shared" si="111"/>
        <v/>
      </c>
      <c r="AD1413" s="170" t="str">
        <f t="shared" si="112"/>
        <v/>
      </c>
    </row>
    <row r="1414" spans="1:30" s="170" customFormat="1" ht="20.399999999999999">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114"/>
        <v/>
      </c>
      <c r="T1414" s="155" t="str">
        <f ca="1">IF(B1414="","",IF(ISERROR(MATCH($J1414,SorP!$B$1:$B$6226,0)),"",INDIRECT("'SorP'!$A$"&amp;MATCH($S1414&amp;$J1414,SorP!C:C,0))))</f>
        <v/>
      </c>
      <c r="U1414" s="168"/>
      <c r="V1414" s="169" t="e">
        <f>IF(C1414="",NA(),MATCH($B1414&amp;$C1414,'Smelter Look-up'!$J:$J,0))</f>
        <v>#N/A</v>
      </c>
      <c r="X1414" s="170">
        <f t="shared" ca="1" si="113"/>
        <v>0</v>
      </c>
      <c r="AB1414" s="313" t="str">
        <f t="shared" ref="AB1414:AB1477" si="115">IF(C1414="","",B1414)</f>
        <v/>
      </c>
      <c r="AC1414" s="170" t="str">
        <f t="shared" ref="AC1414:AC1477" si="116">B1414</f>
        <v/>
      </c>
      <c r="AD1414" s="170" t="str">
        <f t="shared" ref="AD1414:AD1477" si="117">IF(C1414="Smelter not listed",D1414,C1414)</f>
        <v/>
      </c>
    </row>
    <row r="1415" spans="1:30" s="170" customFormat="1" ht="20.399999999999999">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114"/>
        <v/>
      </c>
      <c r="T1415" s="155" t="str">
        <f ca="1">IF(B1415="","",IF(ISERROR(MATCH($J1415,SorP!$B$1:$B$6226,0)),"",INDIRECT("'SorP'!$A$"&amp;MATCH($S1415&amp;$J1415,SorP!C:C,0))))</f>
        <v/>
      </c>
      <c r="U1415" s="168"/>
      <c r="V1415" s="169" t="e">
        <f>IF(C1415="",NA(),MATCH($B1415&amp;$C1415,'Smelter Look-up'!$J:$J,0))</f>
        <v>#N/A</v>
      </c>
      <c r="X1415" s="170">
        <f t="shared" ca="1" si="113"/>
        <v>0</v>
      </c>
      <c r="AB1415" s="313" t="str">
        <f t="shared" si="115"/>
        <v/>
      </c>
      <c r="AC1415" s="170" t="str">
        <f t="shared" si="116"/>
        <v/>
      </c>
      <c r="AD1415" s="170" t="str">
        <f t="shared" si="117"/>
        <v/>
      </c>
    </row>
    <row r="1416" spans="1:30" s="170" customFormat="1" ht="20.399999999999999">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114"/>
        <v/>
      </c>
      <c r="T1416" s="155" t="str">
        <f ca="1">IF(B1416="","",IF(ISERROR(MATCH($J1416,SorP!$B$1:$B$6226,0)),"",INDIRECT("'SorP'!$A$"&amp;MATCH($S1416&amp;$J1416,SorP!C:C,0))))</f>
        <v/>
      </c>
      <c r="U1416" s="168"/>
      <c r="V1416" s="169" t="e">
        <f>IF(C1416="",NA(),MATCH($B1416&amp;$C1416,'Smelter Look-up'!$J:$J,0))</f>
        <v>#N/A</v>
      </c>
      <c r="X1416" s="170">
        <f t="shared" ca="1" si="113"/>
        <v>0</v>
      </c>
      <c r="AB1416" s="313" t="str">
        <f t="shared" si="115"/>
        <v/>
      </c>
      <c r="AC1416" s="170" t="str">
        <f t="shared" si="116"/>
        <v/>
      </c>
      <c r="AD1416" s="170" t="str">
        <f t="shared" si="117"/>
        <v/>
      </c>
    </row>
    <row r="1417" spans="1:30" s="170" customFormat="1" ht="20.399999999999999">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114"/>
        <v/>
      </c>
      <c r="T1417" s="155" t="str">
        <f ca="1">IF(B1417="","",IF(ISERROR(MATCH($J1417,SorP!$B$1:$B$6226,0)),"",INDIRECT("'SorP'!$A$"&amp;MATCH($S1417&amp;$J1417,SorP!C:C,0))))</f>
        <v/>
      </c>
      <c r="U1417" s="168"/>
      <c r="V1417" s="169" t="e">
        <f>IF(C1417="",NA(),MATCH($B1417&amp;$C1417,'Smelter Look-up'!$J:$J,0))</f>
        <v>#N/A</v>
      </c>
      <c r="X1417" s="170">
        <f t="shared" ca="1" si="113"/>
        <v>0</v>
      </c>
      <c r="AB1417" s="313" t="str">
        <f t="shared" si="115"/>
        <v/>
      </c>
      <c r="AC1417" s="170" t="str">
        <f t="shared" si="116"/>
        <v/>
      </c>
      <c r="AD1417" s="170" t="str">
        <f t="shared" si="117"/>
        <v/>
      </c>
    </row>
    <row r="1418" spans="1:30" s="170" customFormat="1" ht="20.399999999999999">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114"/>
        <v/>
      </c>
      <c r="T1418" s="155" t="str">
        <f ca="1">IF(B1418="","",IF(ISERROR(MATCH($J1418,SorP!$B$1:$B$6226,0)),"",INDIRECT("'SorP'!$A$"&amp;MATCH($S1418&amp;$J1418,SorP!C:C,0))))</f>
        <v/>
      </c>
      <c r="U1418" s="168"/>
      <c r="V1418" s="169" t="e">
        <f>IF(C1418="",NA(),MATCH($B1418&amp;$C1418,'Smelter Look-up'!$J:$J,0))</f>
        <v>#N/A</v>
      </c>
      <c r="X1418" s="170">
        <f t="shared" ca="1" si="113"/>
        <v>0</v>
      </c>
      <c r="AB1418" s="313" t="str">
        <f t="shared" si="115"/>
        <v/>
      </c>
      <c r="AC1418" s="170" t="str">
        <f t="shared" si="116"/>
        <v/>
      </c>
      <c r="AD1418" s="170" t="str">
        <f t="shared" si="117"/>
        <v/>
      </c>
    </row>
    <row r="1419" spans="1:30" s="170" customFormat="1" ht="20.399999999999999">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114"/>
        <v/>
      </c>
      <c r="T1419" s="155" t="str">
        <f ca="1">IF(B1419="","",IF(ISERROR(MATCH($J1419,SorP!$B$1:$B$6226,0)),"",INDIRECT("'SorP'!$A$"&amp;MATCH($S1419&amp;$J1419,SorP!C:C,0))))</f>
        <v/>
      </c>
      <c r="U1419" s="168"/>
      <c r="V1419" s="169" t="e">
        <f>IF(C1419="",NA(),MATCH($B1419&amp;$C1419,'Smelter Look-up'!$J:$J,0))</f>
        <v>#N/A</v>
      </c>
      <c r="X1419" s="170">
        <f t="shared" ca="1" si="113"/>
        <v>0</v>
      </c>
      <c r="AB1419" s="313" t="str">
        <f t="shared" si="115"/>
        <v/>
      </c>
      <c r="AC1419" s="170" t="str">
        <f t="shared" si="116"/>
        <v/>
      </c>
      <c r="AD1419" s="170" t="str">
        <f t="shared" si="117"/>
        <v/>
      </c>
    </row>
    <row r="1420" spans="1:30" s="170" customFormat="1" ht="20.399999999999999">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114"/>
        <v/>
      </c>
      <c r="T1420" s="155" t="str">
        <f ca="1">IF(B1420="","",IF(ISERROR(MATCH($J1420,SorP!$B$1:$B$6226,0)),"",INDIRECT("'SorP'!$A$"&amp;MATCH($S1420&amp;$J1420,SorP!C:C,0))))</f>
        <v/>
      </c>
      <c r="U1420" s="168"/>
      <c r="V1420" s="169" t="e">
        <f>IF(C1420="",NA(),MATCH($B1420&amp;$C1420,'Smelter Look-up'!$J:$J,0))</f>
        <v>#N/A</v>
      </c>
      <c r="X1420" s="170">
        <f t="shared" ca="1" si="113"/>
        <v>0</v>
      </c>
      <c r="AB1420" s="313" t="str">
        <f t="shared" si="115"/>
        <v/>
      </c>
      <c r="AC1420" s="170" t="str">
        <f t="shared" si="116"/>
        <v/>
      </c>
      <c r="AD1420" s="170" t="str">
        <f t="shared" si="117"/>
        <v/>
      </c>
    </row>
    <row r="1421" spans="1:30" s="170" customFormat="1" ht="20.399999999999999">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114"/>
        <v/>
      </c>
      <c r="T1421" s="155" t="str">
        <f ca="1">IF(B1421="","",IF(ISERROR(MATCH($J1421,SorP!$B$1:$B$6226,0)),"",INDIRECT("'SorP'!$A$"&amp;MATCH($S1421&amp;$J1421,SorP!C:C,0))))</f>
        <v/>
      </c>
      <c r="U1421" s="168"/>
      <c r="V1421" s="169" t="e">
        <f>IF(C1421="",NA(),MATCH($B1421&amp;$C1421,'Smelter Look-up'!$J:$J,0))</f>
        <v>#N/A</v>
      </c>
      <c r="X1421" s="170">
        <f t="shared" ca="1" si="113"/>
        <v>0</v>
      </c>
      <c r="AB1421" s="313" t="str">
        <f t="shared" si="115"/>
        <v/>
      </c>
      <c r="AC1421" s="170" t="str">
        <f t="shared" si="116"/>
        <v/>
      </c>
      <c r="AD1421" s="170" t="str">
        <f t="shared" si="117"/>
        <v/>
      </c>
    </row>
    <row r="1422" spans="1:30" s="170" customFormat="1" ht="20.399999999999999">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114"/>
        <v/>
      </c>
      <c r="T1422" s="155" t="str">
        <f ca="1">IF(B1422="","",IF(ISERROR(MATCH($J1422,SorP!$B$1:$B$6226,0)),"",INDIRECT("'SorP'!$A$"&amp;MATCH($S1422&amp;$J1422,SorP!C:C,0))))</f>
        <v/>
      </c>
      <c r="U1422" s="168"/>
      <c r="V1422" s="169" t="e">
        <f>IF(C1422="",NA(),MATCH($B1422&amp;$C1422,'Smelter Look-up'!$J:$J,0))</f>
        <v>#N/A</v>
      </c>
      <c r="X1422" s="170">
        <f t="shared" ca="1" si="113"/>
        <v>0</v>
      </c>
      <c r="AB1422" s="313" t="str">
        <f t="shared" si="115"/>
        <v/>
      </c>
      <c r="AC1422" s="170" t="str">
        <f t="shared" si="116"/>
        <v/>
      </c>
      <c r="AD1422" s="170" t="str">
        <f t="shared" si="117"/>
        <v/>
      </c>
    </row>
    <row r="1423" spans="1:30" s="170" customFormat="1" ht="20.399999999999999">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114"/>
        <v/>
      </c>
      <c r="T1423" s="155" t="str">
        <f ca="1">IF(B1423="","",IF(ISERROR(MATCH($J1423,SorP!$B$1:$B$6226,0)),"",INDIRECT("'SorP'!$A$"&amp;MATCH($S1423&amp;$J1423,SorP!C:C,0))))</f>
        <v/>
      </c>
      <c r="U1423" s="168"/>
      <c r="V1423" s="169" t="e">
        <f>IF(C1423="",NA(),MATCH($B1423&amp;$C1423,'Smelter Look-up'!$J:$J,0))</f>
        <v>#N/A</v>
      </c>
      <c r="X1423" s="170">
        <f t="shared" ca="1" si="113"/>
        <v>0</v>
      </c>
      <c r="AB1423" s="313" t="str">
        <f t="shared" si="115"/>
        <v/>
      </c>
      <c r="AC1423" s="170" t="str">
        <f t="shared" si="116"/>
        <v/>
      </c>
      <c r="AD1423" s="170" t="str">
        <f t="shared" si="117"/>
        <v/>
      </c>
    </row>
    <row r="1424" spans="1:30" s="170" customFormat="1" ht="20.399999999999999">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114"/>
        <v/>
      </c>
      <c r="T1424" s="155" t="str">
        <f ca="1">IF(B1424="","",IF(ISERROR(MATCH($J1424,SorP!$B$1:$B$6226,0)),"",INDIRECT("'SorP'!$A$"&amp;MATCH($S1424&amp;$J1424,SorP!C:C,0))))</f>
        <v/>
      </c>
      <c r="U1424" s="168"/>
      <c r="V1424" s="169" t="e">
        <f>IF(C1424="",NA(),MATCH($B1424&amp;$C1424,'Smelter Look-up'!$J:$J,0))</f>
        <v>#N/A</v>
      </c>
      <c r="X1424" s="170">
        <f t="shared" ca="1" si="113"/>
        <v>0</v>
      </c>
      <c r="AB1424" s="313" t="str">
        <f t="shared" si="115"/>
        <v/>
      </c>
      <c r="AC1424" s="170" t="str">
        <f t="shared" si="116"/>
        <v/>
      </c>
      <c r="AD1424" s="170" t="str">
        <f t="shared" si="117"/>
        <v/>
      </c>
    </row>
    <row r="1425" spans="1:30" s="170" customFormat="1" ht="20.399999999999999">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114"/>
        <v/>
      </c>
      <c r="T1425" s="155" t="str">
        <f ca="1">IF(B1425="","",IF(ISERROR(MATCH($J1425,SorP!$B$1:$B$6226,0)),"",INDIRECT("'SorP'!$A$"&amp;MATCH($S1425&amp;$J1425,SorP!C:C,0))))</f>
        <v/>
      </c>
      <c r="U1425" s="168"/>
      <c r="V1425" s="169" t="e">
        <f>IF(C1425="",NA(),MATCH($B1425&amp;$C1425,'Smelter Look-up'!$J:$J,0))</f>
        <v>#N/A</v>
      </c>
      <c r="X1425" s="170">
        <f t="shared" ca="1" si="113"/>
        <v>0</v>
      </c>
      <c r="AB1425" s="313" t="str">
        <f t="shared" si="115"/>
        <v/>
      </c>
      <c r="AC1425" s="170" t="str">
        <f t="shared" si="116"/>
        <v/>
      </c>
      <c r="AD1425" s="170" t="str">
        <f t="shared" si="117"/>
        <v/>
      </c>
    </row>
    <row r="1426" spans="1:30" s="170" customFormat="1" ht="20.399999999999999">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114"/>
        <v/>
      </c>
      <c r="T1426" s="155" t="str">
        <f ca="1">IF(B1426="","",IF(ISERROR(MATCH($J1426,SorP!$B$1:$B$6226,0)),"",INDIRECT("'SorP'!$A$"&amp;MATCH($S1426&amp;$J1426,SorP!C:C,0))))</f>
        <v/>
      </c>
      <c r="U1426" s="168"/>
      <c r="V1426" s="169" t="e">
        <f>IF(C1426="",NA(),MATCH($B1426&amp;$C1426,'Smelter Look-up'!$J:$J,0))</f>
        <v>#N/A</v>
      </c>
      <c r="X1426" s="170">
        <f t="shared" ca="1" si="113"/>
        <v>0</v>
      </c>
      <c r="AB1426" s="313" t="str">
        <f t="shared" si="115"/>
        <v/>
      </c>
      <c r="AC1426" s="170" t="str">
        <f t="shared" si="116"/>
        <v/>
      </c>
      <c r="AD1426" s="170" t="str">
        <f t="shared" si="117"/>
        <v/>
      </c>
    </row>
    <row r="1427" spans="1:30" s="170" customFormat="1" ht="20.399999999999999">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114"/>
        <v/>
      </c>
      <c r="T1427" s="155" t="str">
        <f ca="1">IF(B1427="","",IF(ISERROR(MATCH($J1427,SorP!$B$1:$B$6226,0)),"",INDIRECT("'SorP'!$A$"&amp;MATCH($S1427&amp;$J1427,SorP!C:C,0))))</f>
        <v/>
      </c>
      <c r="U1427" s="168"/>
      <c r="V1427" s="169" t="e">
        <f>IF(C1427="",NA(),MATCH($B1427&amp;$C1427,'Smelter Look-up'!$J:$J,0))</f>
        <v>#N/A</v>
      </c>
      <c r="X1427" s="170">
        <f t="shared" ca="1" si="113"/>
        <v>0</v>
      </c>
      <c r="AB1427" s="313" t="str">
        <f t="shared" si="115"/>
        <v/>
      </c>
      <c r="AC1427" s="170" t="str">
        <f t="shared" si="116"/>
        <v/>
      </c>
      <c r="AD1427" s="170" t="str">
        <f t="shared" si="117"/>
        <v/>
      </c>
    </row>
    <row r="1428" spans="1:30" s="170" customFormat="1" ht="20.399999999999999">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114"/>
        <v/>
      </c>
      <c r="T1428" s="155" t="str">
        <f ca="1">IF(B1428="","",IF(ISERROR(MATCH($J1428,SorP!$B$1:$B$6226,0)),"",INDIRECT("'SorP'!$A$"&amp;MATCH($S1428&amp;$J1428,SorP!C:C,0))))</f>
        <v/>
      </c>
      <c r="U1428" s="168"/>
      <c r="V1428" s="169" t="e">
        <f>IF(C1428="",NA(),MATCH($B1428&amp;$C1428,'Smelter Look-up'!$J:$J,0))</f>
        <v>#N/A</v>
      </c>
      <c r="X1428" s="170">
        <f t="shared" ca="1" si="113"/>
        <v>0</v>
      </c>
      <c r="AB1428" s="313" t="str">
        <f t="shared" si="115"/>
        <v/>
      </c>
      <c r="AC1428" s="170" t="str">
        <f t="shared" si="116"/>
        <v/>
      </c>
      <c r="AD1428" s="170" t="str">
        <f t="shared" si="117"/>
        <v/>
      </c>
    </row>
    <row r="1429" spans="1:30" s="170" customFormat="1" ht="20.399999999999999">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114"/>
        <v/>
      </c>
      <c r="T1429" s="155" t="str">
        <f ca="1">IF(B1429="","",IF(ISERROR(MATCH($J1429,SorP!$B$1:$B$6226,0)),"",INDIRECT("'SorP'!$A$"&amp;MATCH($S1429&amp;$J1429,SorP!C:C,0))))</f>
        <v/>
      </c>
      <c r="U1429" s="168"/>
      <c r="V1429" s="169" t="e">
        <f>IF(C1429="",NA(),MATCH($B1429&amp;$C1429,'Smelter Look-up'!$J:$J,0))</f>
        <v>#N/A</v>
      </c>
      <c r="X1429" s="170">
        <f t="shared" ca="1" si="113"/>
        <v>0</v>
      </c>
      <c r="AB1429" s="313" t="str">
        <f t="shared" si="115"/>
        <v/>
      </c>
      <c r="AC1429" s="170" t="str">
        <f t="shared" si="116"/>
        <v/>
      </c>
      <c r="AD1429" s="170" t="str">
        <f t="shared" si="117"/>
        <v/>
      </c>
    </row>
    <row r="1430" spans="1:30" s="170" customFormat="1" ht="20.399999999999999">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114"/>
        <v/>
      </c>
      <c r="T1430" s="155" t="str">
        <f ca="1">IF(B1430="","",IF(ISERROR(MATCH($J1430,SorP!$B$1:$B$6226,0)),"",INDIRECT("'SorP'!$A$"&amp;MATCH($S1430&amp;$J1430,SorP!C:C,0))))</f>
        <v/>
      </c>
      <c r="U1430" s="168"/>
      <c r="V1430" s="169" t="e">
        <f>IF(C1430="",NA(),MATCH($B1430&amp;$C1430,'Smelter Look-up'!$J:$J,0))</f>
        <v>#N/A</v>
      </c>
      <c r="X1430" s="170">
        <f t="shared" ca="1" si="113"/>
        <v>0</v>
      </c>
      <c r="AB1430" s="313" t="str">
        <f t="shared" si="115"/>
        <v/>
      </c>
      <c r="AC1430" s="170" t="str">
        <f t="shared" si="116"/>
        <v/>
      </c>
      <c r="AD1430" s="170" t="str">
        <f t="shared" si="117"/>
        <v/>
      </c>
    </row>
    <row r="1431" spans="1:30" s="170" customFormat="1" ht="20.399999999999999">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114"/>
        <v/>
      </c>
      <c r="T1431" s="155" t="str">
        <f ca="1">IF(B1431="","",IF(ISERROR(MATCH($J1431,SorP!$B$1:$B$6226,0)),"",INDIRECT("'SorP'!$A$"&amp;MATCH($S1431&amp;$J1431,SorP!C:C,0))))</f>
        <v/>
      </c>
      <c r="U1431" s="168"/>
      <c r="V1431" s="169" t="e">
        <f>IF(C1431="",NA(),MATCH($B1431&amp;$C1431,'Smelter Look-up'!$J:$J,0))</f>
        <v>#N/A</v>
      </c>
      <c r="X1431" s="170">
        <f t="shared" ca="1" si="113"/>
        <v>0</v>
      </c>
      <c r="AB1431" s="313" t="str">
        <f t="shared" si="115"/>
        <v/>
      </c>
      <c r="AC1431" s="170" t="str">
        <f t="shared" si="116"/>
        <v/>
      </c>
      <c r="AD1431" s="170" t="str">
        <f t="shared" si="117"/>
        <v/>
      </c>
    </row>
    <row r="1432" spans="1:30" s="170" customFormat="1" ht="20.399999999999999">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114"/>
        <v/>
      </c>
      <c r="T1432" s="155" t="str">
        <f ca="1">IF(B1432="","",IF(ISERROR(MATCH($J1432,SorP!$B$1:$B$6226,0)),"",INDIRECT("'SorP'!$A$"&amp;MATCH($S1432&amp;$J1432,SorP!C:C,0))))</f>
        <v/>
      </c>
      <c r="U1432" s="168"/>
      <c r="V1432" s="169" t="e">
        <f>IF(C1432="",NA(),MATCH($B1432&amp;$C1432,'Smelter Look-up'!$J:$J,0))</f>
        <v>#N/A</v>
      </c>
      <c r="X1432" s="170">
        <f t="shared" ca="1" si="113"/>
        <v>0</v>
      </c>
      <c r="AB1432" s="313" t="str">
        <f t="shared" si="115"/>
        <v/>
      </c>
      <c r="AC1432" s="170" t="str">
        <f t="shared" si="116"/>
        <v/>
      </c>
      <c r="AD1432" s="170" t="str">
        <f t="shared" si="117"/>
        <v/>
      </c>
    </row>
    <row r="1433" spans="1:30" s="170" customFormat="1" ht="20.399999999999999">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114"/>
        <v/>
      </c>
      <c r="T1433" s="155" t="str">
        <f ca="1">IF(B1433="","",IF(ISERROR(MATCH($J1433,SorP!$B$1:$B$6226,0)),"",INDIRECT("'SorP'!$A$"&amp;MATCH($S1433&amp;$J1433,SorP!C:C,0))))</f>
        <v/>
      </c>
      <c r="U1433" s="168"/>
      <c r="V1433" s="169" t="e">
        <f>IF(C1433="",NA(),MATCH($B1433&amp;$C1433,'Smelter Look-up'!$J:$J,0))</f>
        <v>#N/A</v>
      </c>
      <c r="X1433" s="170">
        <f t="shared" ca="1" si="113"/>
        <v>0</v>
      </c>
      <c r="AB1433" s="313" t="str">
        <f t="shared" si="115"/>
        <v/>
      </c>
      <c r="AC1433" s="170" t="str">
        <f t="shared" si="116"/>
        <v/>
      </c>
      <c r="AD1433" s="170" t="str">
        <f t="shared" si="117"/>
        <v/>
      </c>
    </row>
    <row r="1434" spans="1:30" s="170" customFormat="1" ht="20.399999999999999">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114"/>
        <v/>
      </c>
      <c r="T1434" s="155" t="str">
        <f ca="1">IF(B1434="","",IF(ISERROR(MATCH($J1434,SorP!$B$1:$B$6226,0)),"",INDIRECT("'SorP'!$A$"&amp;MATCH($S1434&amp;$J1434,SorP!C:C,0))))</f>
        <v/>
      </c>
      <c r="U1434" s="168"/>
      <c r="V1434" s="169" t="e">
        <f>IF(C1434="",NA(),MATCH($B1434&amp;$C1434,'Smelter Look-up'!$J:$J,0))</f>
        <v>#N/A</v>
      </c>
      <c r="X1434" s="170">
        <f t="shared" ca="1" si="113"/>
        <v>0</v>
      </c>
      <c r="AB1434" s="313" t="str">
        <f t="shared" si="115"/>
        <v/>
      </c>
      <c r="AC1434" s="170" t="str">
        <f t="shared" si="116"/>
        <v/>
      </c>
      <c r="AD1434" s="170" t="str">
        <f t="shared" si="117"/>
        <v/>
      </c>
    </row>
    <row r="1435" spans="1:30" s="170" customFormat="1" ht="20.399999999999999">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114"/>
        <v/>
      </c>
      <c r="T1435" s="155" t="str">
        <f ca="1">IF(B1435="","",IF(ISERROR(MATCH($J1435,SorP!$B$1:$B$6226,0)),"",INDIRECT("'SorP'!$A$"&amp;MATCH($S1435&amp;$J1435,SorP!C:C,0))))</f>
        <v/>
      </c>
      <c r="U1435" s="168"/>
      <c r="V1435" s="169" t="e">
        <f>IF(C1435="",NA(),MATCH($B1435&amp;$C1435,'Smelter Look-up'!$J:$J,0))</f>
        <v>#N/A</v>
      </c>
      <c r="X1435" s="170">
        <f t="shared" ca="1" si="113"/>
        <v>0</v>
      </c>
      <c r="AB1435" s="313" t="str">
        <f t="shared" si="115"/>
        <v/>
      </c>
      <c r="AC1435" s="170" t="str">
        <f t="shared" si="116"/>
        <v/>
      </c>
      <c r="AD1435" s="170" t="str">
        <f t="shared" si="117"/>
        <v/>
      </c>
    </row>
    <row r="1436" spans="1:30" s="170" customFormat="1" ht="20.399999999999999">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114"/>
        <v/>
      </c>
      <c r="T1436" s="155" t="str">
        <f ca="1">IF(B1436="","",IF(ISERROR(MATCH($J1436,SorP!$B$1:$B$6226,0)),"",INDIRECT("'SorP'!$A$"&amp;MATCH($S1436&amp;$J1436,SorP!C:C,0))))</f>
        <v/>
      </c>
      <c r="U1436" s="168"/>
      <c r="V1436" s="169" t="e">
        <f>IF(C1436="",NA(),MATCH($B1436&amp;$C1436,'Smelter Look-up'!$J:$J,0))</f>
        <v>#N/A</v>
      </c>
      <c r="X1436" s="170">
        <f t="shared" ca="1" si="113"/>
        <v>0</v>
      </c>
      <c r="AB1436" s="313" t="str">
        <f t="shared" si="115"/>
        <v/>
      </c>
      <c r="AC1436" s="170" t="str">
        <f t="shared" si="116"/>
        <v/>
      </c>
      <c r="AD1436" s="170" t="str">
        <f t="shared" si="117"/>
        <v/>
      </c>
    </row>
    <row r="1437" spans="1:30" s="170" customFormat="1" ht="20.399999999999999">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114"/>
        <v/>
      </c>
      <c r="T1437" s="155" t="str">
        <f ca="1">IF(B1437="","",IF(ISERROR(MATCH($J1437,SorP!$B$1:$B$6226,0)),"",INDIRECT("'SorP'!$A$"&amp;MATCH($S1437&amp;$J1437,SorP!C:C,0))))</f>
        <v/>
      </c>
      <c r="U1437" s="168"/>
      <c r="V1437" s="169" t="e">
        <f>IF(C1437="",NA(),MATCH($B1437&amp;$C1437,'Smelter Look-up'!$J:$J,0))</f>
        <v>#N/A</v>
      </c>
      <c r="X1437" s="170">
        <f t="shared" ca="1" si="113"/>
        <v>0</v>
      </c>
      <c r="AB1437" s="313" t="str">
        <f t="shared" si="115"/>
        <v/>
      </c>
      <c r="AC1437" s="170" t="str">
        <f t="shared" si="116"/>
        <v/>
      </c>
      <c r="AD1437" s="170" t="str">
        <f t="shared" si="117"/>
        <v/>
      </c>
    </row>
    <row r="1438" spans="1:30" s="170" customFormat="1" ht="20.399999999999999">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114"/>
        <v/>
      </c>
      <c r="T1438" s="155" t="str">
        <f ca="1">IF(B1438="","",IF(ISERROR(MATCH($J1438,SorP!$B$1:$B$6226,0)),"",INDIRECT("'SorP'!$A$"&amp;MATCH($S1438&amp;$J1438,SorP!C:C,0))))</f>
        <v/>
      </c>
      <c r="U1438" s="168"/>
      <c r="V1438" s="169" t="e">
        <f>IF(C1438="",NA(),MATCH($B1438&amp;$C1438,'Smelter Look-up'!$J:$J,0))</f>
        <v>#N/A</v>
      </c>
      <c r="X1438" s="170">
        <f t="shared" ca="1" si="113"/>
        <v>0</v>
      </c>
      <c r="AB1438" s="313" t="str">
        <f t="shared" si="115"/>
        <v/>
      </c>
      <c r="AC1438" s="170" t="str">
        <f t="shared" si="116"/>
        <v/>
      </c>
      <c r="AD1438" s="170" t="str">
        <f t="shared" si="117"/>
        <v/>
      </c>
    </row>
    <row r="1439" spans="1:30" s="170" customFormat="1" ht="20.399999999999999">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114"/>
        <v/>
      </c>
      <c r="T1439" s="155" t="str">
        <f ca="1">IF(B1439="","",IF(ISERROR(MATCH($J1439,SorP!$B$1:$B$6226,0)),"",INDIRECT("'SorP'!$A$"&amp;MATCH($S1439&amp;$J1439,SorP!C:C,0))))</f>
        <v/>
      </c>
      <c r="U1439" s="168"/>
      <c r="V1439" s="169" t="e">
        <f>IF(C1439="",NA(),MATCH($B1439&amp;$C1439,'Smelter Look-up'!$J:$J,0))</f>
        <v>#N/A</v>
      </c>
      <c r="X1439" s="170">
        <f t="shared" ca="1" si="113"/>
        <v>0</v>
      </c>
      <c r="AB1439" s="313" t="str">
        <f t="shared" si="115"/>
        <v/>
      </c>
      <c r="AC1439" s="170" t="str">
        <f t="shared" si="116"/>
        <v/>
      </c>
      <c r="AD1439" s="170" t="str">
        <f t="shared" si="117"/>
        <v/>
      </c>
    </row>
    <row r="1440" spans="1:30" s="170" customFormat="1" ht="20.399999999999999">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114"/>
        <v/>
      </c>
      <c r="T1440" s="155" t="str">
        <f ca="1">IF(B1440="","",IF(ISERROR(MATCH($J1440,SorP!$B$1:$B$6226,0)),"",INDIRECT("'SorP'!$A$"&amp;MATCH($S1440&amp;$J1440,SorP!C:C,0))))</f>
        <v/>
      </c>
      <c r="U1440" s="168"/>
      <c r="V1440" s="169" t="e">
        <f>IF(C1440="",NA(),MATCH($B1440&amp;$C1440,'Smelter Look-up'!$J:$J,0))</f>
        <v>#N/A</v>
      </c>
      <c r="X1440" s="170">
        <f t="shared" ca="1" si="113"/>
        <v>0</v>
      </c>
      <c r="AB1440" s="313" t="str">
        <f t="shared" si="115"/>
        <v/>
      </c>
      <c r="AC1440" s="170" t="str">
        <f t="shared" si="116"/>
        <v/>
      </c>
      <c r="AD1440" s="170" t="str">
        <f t="shared" si="117"/>
        <v/>
      </c>
    </row>
    <row r="1441" spans="1:30" s="170" customFormat="1" ht="20.399999999999999">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114"/>
        <v/>
      </c>
      <c r="T1441" s="155" t="str">
        <f ca="1">IF(B1441="","",IF(ISERROR(MATCH($J1441,SorP!$B$1:$B$6226,0)),"",INDIRECT("'SorP'!$A$"&amp;MATCH($S1441&amp;$J1441,SorP!C:C,0))))</f>
        <v/>
      </c>
      <c r="U1441" s="168"/>
      <c r="V1441" s="169" t="e">
        <f>IF(C1441="",NA(),MATCH($B1441&amp;$C1441,'Smelter Look-up'!$J:$J,0))</f>
        <v>#N/A</v>
      </c>
      <c r="X1441" s="170">
        <f t="shared" ca="1" si="113"/>
        <v>0</v>
      </c>
      <c r="AB1441" s="313" t="str">
        <f t="shared" si="115"/>
        <v/>
      </c>
      <c r="AC1441" s="170" t="str">
        <f t="shared" si="116"/>
        <v/>
      </c>
      <c r="AD1441" s="170" t="str">
        <f t="shared" si="117"/>
        <v/>
      </c>
    </row>
    <row r="1442" spans="1:30" s="170" customFormat="1" ht="20.399999999999999">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114"/>
        <v/>
      </c>
      <c r="T1442" s="155" t="str">
        <f ca="1">IF(B1442="","",IF(ISERROR(MATCH($J1442,SorP!$B$1:$B$6226,0)),"",INDIRECT("'SorP'!$A$"&amp;MATCH($S1442&amp;$J1442,SorP!C:C,0))))</f>
        <v/>
      </c>
      <c r="U1442" s="168"/>
      <c r="V1442" s="169" t="e">
        <f>IF(C1442="",NA(),MATCH($B1442&amp;$C1442,'Smelter Look-up'!$J:$J,0))</f>
        <v>#N/A</v>
      </c>
      <c r="X1442" s="170">
        <f t="shared" ca="1" si="113"/>
        <v>0</v>
      </c>
      <c r="AB1442" s="313" t="str">
        <f t="shared" si="115"/>
        <v/>
      </c>
      <c r="AC1442" s="170" t="str">
        <f t="shared" si="116"/>
        <v/>
      </c>
      <c r="AD1442" s="170" t="str">
        <f t="shared" si="117"/>
        <v/>
      </c>
    </row>
    <row r="1443" spans="1:30" s="170" customFormat="1" ht="20.399999999999999">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114"/>
        <v/>
      </c>
      <c r="T1443" s="155" t="str">
        <f ca="1">IF(B1443="","",IF(ISERROR(MATCH($J1443,SorP!$B$1:$B$6226,0)),"",INDIRECT("'SorP'!$A$"&amp;MATCH($S1443&amp;$J1443,SorP!C:C,0))))</f>
        <v/>
      </c>
      <c r="U1443" s="168"/>
      <c r="V1443" s="169" t="e">
        <f>IF(C1443="",NA(),MATCH($B1443&amp;$C1443,'Smelter Look-up'!$J:$J,0))</f>
        <v>#N/A</v>
      </c>
      <c r="X1443" s="170">
        <f t="shared" ca="1" si="113"/>
        <v>0</v>
      </c>
      <c r="AB1443" s="313" t="str">
        <f t="shared" si="115"/>
        <v/>
      </c>
      <c r="AC1443" s="170" t="str">
        <f t="shared" si="116"/>
        <v/>
      </c>
      <c r="AD1443" s="170" t="str">
        <f t="shared" si="117"/>
        <v/>
      </c>
    </row>
    <row r="1444" spans="1:30" s="170" customFormat="1" ht="20.399999999999999">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114"/>
        <v/>
      </c>
      <c r="T1444" s="155" t="str">
        <f ca="1">IF(B1444="","",IF(ISERROR(MATCH($J1444,SorP!$B$1:$B$6226,0)),"",INDIRECT("'SorP'!$A$"&amp;MATCH($S1444&amp;$J1444,SorP!C:C,0))))</f>
        <v/>
      </c>
      <c r="U1444" s="168"/>
      <c r="V1444" s="169" t="e">
        <f>IF(C1444="",NA(),MATCH($B1444&amp;$C1444,'Smelter Look-up'!$J:$J,0))</f>
        <v>#N/A</v>
      </c>
      <c r="X1444" s="170">
        <f t="shared" ca="1" si="113"/>
        <v>0</v>
      </c>
      <c r="AB1444" s="313" t="str">
        <f t="shared" si="115"/>
        <v/>
      </c>
      <c r="AC1444" s="170" t="str">
        <f t="shared" si="116"/>
        <v/>
      </c>
      <c r="AD1444" s="170" t="str">
        <f t="shared" si="117"/>
        <v/>
      </c>
    </row>
    <row r="1445" spans="1:30" s="170" customFormat="1" ht="20.399999999999999">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114"/>
        <v/>
      </c>
      <c r="T1445" s="155" t="str">
        <f ca="1">IF(B1445="","",IF(ISERROR(MATCH($J1445,SorP!$B$1:$B$6226,0)),"",INDIRECT("'SorP'!$A$"&amp;MATCH($S1445&amp;$J1445,SorP!C:C,0))))</f>
        <v/>
      </c>
      <c r="U1445" s="168"/>
      <c r="V1445" s="169" t="e">
        <f>IF(C1445="",NA(),MATCH($B1445&amp;$C1445,'Smelter Look-up'!$J:$J,0))</f>
        <v>#N/A</v>
      </c>
      <c r="X1445" s="170">
        <f t="shared" ca="1" si="113"/>
        <v>0</v>
      </c>
      <c r="AB1445" s="313" t="str">
        <f t="shared" si="115"/>
        <v/>
      </c>
      <c r="AC1445" s="170" t="str">
        <f t="shared" si="116"/>
        <v/>
      </c>
      <c r="AD1445" s="170" t="str">
        <f t="shared" si="117"/>
        <v/>
      </c>
    </row>
    <row r="1446" spans="1:30" s="170" customFormat="1" ht="20.399999999999999">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114"/>
        <v/>
      </c>
      <c r="T1446" s="155" t="str">
        <f ca="1">IF(B1446="","",IF(ISERROR(MATCH($J1446,SorP!$B$1:$B$6226,0)),"",INDIRECT("'SorP'!$A$"&amp;MATCH($S1446&amp;$J1446,SorP!C:C,0))))</f>
        <v/>
      </c>
      <c r="U1446" s="168"/>
      <c r="V1446" s="169" t="e">
        <f>IF(C1446="",NA(),MATCH($B1446&amp;$C1446,'Smelter Look-up'!$J:$J,0))</f>
        <v>#N/A</v>
      </c>
      <c r="X1446" s="170">
        <f t="shared" ca="1" si="113"/>
        <v>0</v>
      </c>
      <c r="AB1446" s="313" t="str">
        <f t="shared" si="115"/>
        <v/>
      </c>
      <c r="AC1446" s="170" t="str">
        <f t="shared" si="116"/>
        <v/>
      </c>
      <c r="AD1446" s="170" t="str">
        <f t="shared" si="117"/>
        <v/>
      </c>
    </row>
    <row r="1447" spans="1:30" s="170" customFormat="1" ht="20.399999999999999">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114"/>
        <v/>
      </c>
      <c r="T1447" s="155" t="str">
        <f ca="1">IF(B1447="","",IF(ISERROR(MATCH($J1447,SorP!$B$1:$B$6226,0)),"",INDIRECT("'SorP'!$A$"&amp;MATCH($S1447&amp;$J1447,SorP!C:C,0))))</f>
        <v/>
      </c>
      <c r="U1447" s="168"/>
      <c r="V1447" s="169" t="e">
        <f>IF(C1447="",NA(),MATCH($B1447&amp;$C1447,'Smelter Look-up'!$J:$J,0))</f>
        <v>#N/A</v>
      </c>
      <c r="X1447" s="170">
        <f t="shared" ca="1" si="113"/>
        <v>0</v>
      </c>
      <c r="AB1447" s="313" t="str">
        <f t="shared" si="115"/>
        <v/>
      </c>
      <c r="AC1447" s="170" t="str">
        <f t="shared" si="116"/>
        <v/>
      </c>
      <c r="AD1447" s="170" t="str">
        <f t="shared" si="117"/>
        <v/>
      </c>
    </row>
    <row r="1448" spans="1:30" s="170" customFormat="1" ht="20.399999999999999">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114"/>
        <v/>
      </c>
      <c r="T1448" s="155" t="str">
        <f ca="1">IF(B1448="","",IF(ISERROR(MATCH($J1448,SorP!$B$1:$B$6226,0)),"",INDIRECT("'SorP'!$A$"&amp;MATCH($S1448&amp;$J1448,SorP!C:C,0))))</f>
        <v/>
      </c>
      <c r="U1448" s="168"/>
      <c r="V1448" s="169" t="e">
        <f>IF(C1448="",NA(),MATCH($B1448&amp;$C1448,'Smelter Look-up'!$J:$J,0))</f>
        <v>#N/A</v>
      </c>
      <c r="X1448" s="170">
        <f t="shared" ca="1" si="113"/>
        <v>0</v>
      </c>
      <c r="AB1448" s="313" t="str">
        <f t="shared" si="115"/>
        <v/>
      </c>
      <c r="AC1448" s="170" t="str">
        <f t="shared" si="116"/>
        <v/>
      </c>
      <c r="AD1448" s="170" t="str">
        <f t="shared" si="117"/>
        <v/>
      </c>
    </row>
    <row r="1449" spans="1:30" s="170" customFormat="1" ht="20.399999999999999">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114"/>
        <v/>
      </c>
      <c r="T1449" s="155" t="str">
        <f ca="1">IF(B1449="","",IF(ISERROR(MATCH($J1449,SorP!$B$1:$B$6226,0)),"",INDIRECT("'SorP'!$A$"&amp;MATCH($S1449&amp;$J1449,SorP!C:C,0))))</f>
        <v/>
      </c>
      <c r="U1449" s="168"/>
      <c r="V1449" s="169" t="e">
        <f>IF(C1449="",NA(),MATCH($B1449&amp;$C1449,'Smelter Look-up'!$J:$J,0))</f>
        <v>#N/A</v>
      </c>
      <c r="X1449" s="170">
        <f t="shared" ca="1" si="113"/>
        <v>0</v>
      </c>
      <c r="AB1449" s="313" t="str">
        <f t="shared" si="115"/>
        <v/>
      </c>
      <c r="AC1449" s="170" t="str">
        <f t="shared" si="116"/>
        <v/>
      </c>
      <c r="AD1449" s="170" t="str">
        <f t="shared" si="117"/>
        <v/>
      </c>
    </row>
    <row r="1450" spans="1:30" s="170" customFormat="1" ht="20.399999999999999">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114"/>
        <v/>
      </c>
      <c r="T1450" s="155" t="str">
        <f ca="1">IF(B1450="","",IF(ISERROR(MATCH($J1450,SorP!$B$1:$B$6226,0)),"",INDIRECT("'SorP'!$A$"&amp;MATCH($S1450&amp;$J1450,SorP!C:C,0))))</f>
        <v/>
      </c>
      <c r="U1450" s="168"/>
      <c r="V1450" s="169" t="e">
        <f>IF(C1450="",NA(),MATCH($B1450&amp;$C1450,'Smelter Look-up'!$J:$J,0))</f>
        <v>#N/A</v>
      </c>
      <c r="X1450" s="170">
        <f t="shared" ca="1" si="113"/>
        <v>0</v>
      </c>
      <c r="AB1450" s="313" t="str">
        <f t="shared" si="115"/>
        <v/>
      </c>
      <c r="AC1450" s="170" t="str">
        <f t="shared" si="116"/>
        <v/>
      </c>
      <c r="AD1450" s="170" t="str">
        <f t="shared" si="117"/>
        <v/>
      </c>
    </row>
    <row r="1451" spans="1:30" s="170" customFormat="1" ht="20.399999999999999">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114"/>
        <v/>
      </c>
      <c r="T1451" s="155" t="str">
        <f ca="1">IF(B1451="","",IF(ISERROR(MATCH($J1451,SorP!$B$1:$B$6226,0)),"",INDIRECT("'SorP'!$A$"&amp;MATCH($S1451&amp;$J1451,SorP!C:C,0))))</f>
        <v/>
      </c>
      <c r="U1451" s="168"/>
      <c r="V1451" s="169" t="e">
        <f>IF(C1451="",NA(),MATCH($B1451&amp;$C1451,'Smelter Look-up'!$J:$J,0))</f>
        <v>#N/A</v>
      </c>
      <c r="X1451" s="170">
        <f t="shared" ca="1" si="113"/>
        <v>0</v>
      </c>
      <c r="AB1451" s="313" t="str">
        <f t="shared" si="115"/>
        <v/>
      </c>
      <c r="AC1451" s="170" t="str">
        <f t="shared" si="116"/>
        <v/>
      </c>
      <c r="AD1451" s="170" t="str">
        <f t="shared" si="117"/>
        <v/>
      </c>
    </row>
    <row r="1452" spans="1:30" s="170" customFormat="1" ht="20.399999999999999">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114"/>
        <v/>
      </c>
      <c r="T1452" s="155" t="str">
        <f ca="1">IF(B1452="","",IF(ISERROR(MATCH($J1452,SorP!$B$1:$B$6226,0)),"",INDIRECT("'SorP'!$A$"&amp;MATCH($S1452&amp;$J1452,SorP!C:C,0))))</f>
        <v/>
      </c>
      <c r="U1452" s="168"/>
      <c r="V1452" s="169" t="e">
        <f>IF(C1452="",NA(),MATCH($B1452&amp;$C1452,'Smelter Look-up'!$J:$J,0))</f>
        <v>#N/A</v>
      </c>
      <c r="X1452" s="170">
        <f t="shared" ca="1" si="113"/>
        <v>0</v>
      </c>
      <c r="AB1452" s="313" t="str">
        <f t="shared" si="115"/>
        <v/>
      </c>
      <c r="AC1452" s="170" t="str">
        <f t="shared" si="116"/>
        <v/>
      </c>
      <c r="AD1452" s="170" t="str">
        <f t="shared" si="117"/>
        <v/>
      </c>
    </row>
    <row r="1453" spans="1:30" s="170" customFormat="1" ht="20.399999999999999">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114"/>
        <v/>
      </c>
      <c r="T1453" s="155" t="str">
        <f ca="1">IF(B1453="","",IF(ISERROR(MATCH($J1453,SorP!$B$1:$B$6226,0)),"",INDIRECT("'SorP'!$A$"&amp;MATCH($S1453&amp;$J1453,SorP!C:C,0))))</f>
        <v/>
      </c>
      <c r="U1453" s="168"/>
      <c r="V1453" s="169" t="e">
        <f>IF(C1453="",NA(),MATCH($B1453&amp;$C1453,'Smelter Look-up'!$J:$J,0))</f>
        <v>#N/A</v>
      </c>
      <c r="X1453" s="170">
        <f t="shared" ca="1" si="113"/>
        <v>0</v>
      </c>
      <c r="AB1453" s="313" t="str">
        <f t="shared" si="115"/>
        <v/>
      </c>
      <c r="AC1453" s="170" t="str">
        <f t="shared" si="116"/>
        <v/>
      </c>
      <c r="AD1453" s="170" t="str">
        <f t="shared" si="117"/>
        <v/>
      </c>
    </row>
    <row r="1454" spans="1:30" s="170" customFormat="1" ht="20.399999999999999">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114"/>
        <v/>
      </c>
      <c r="T1454" s="155" t="str">
        <f ca="1">IF(B1454="","",IF(ISERROR(MATCH($J1454,SorP!$B$1:$B$6226,0)),"",INDIRECT("'SorP'!$A$"&amp;MATCH($S1454&amp;$J1454,SorP!C:C,0))))</f>
        <v/>
      </c>
      <c r="U1454" s="168"/>
      <c r="V1454" s="169" t="e">
        <f>IF(C1454="",NA(),MATCH($B1454&amp;$C1454,'Smelter Look-up'!$J:$J,0))</f>
        <v>#N/A</v>
      </c>
      <c r="X1454" s="170">
        <f t="shared" ca="1" si="113"/>
        <v>0</v>
      </c>
      <c r="AB1454" s="313" t="str">
        <f t="shared" si="115"/>
        <v/>
      </c>
      <c r="AC1454" s="170" t="str">
        <f t="shared" si="116"/>
        <v/>
      </c>
      <c r="AD1454" s="170" t="str">
        <f t="shared" si="117"/>
        <v/>
      </c>
    </row>
    <row r="1455" spans="1:30" s="170" customFormat="1" ht="20.399999999999999">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114"/>
        <v/>
      </c>
      <c r="T1455" s="155" t="str">
        <f ca="1">IF(B1455="","",IF(ISERROR(MATCH($J1455,SorP!$B$1:$B$6226,0)),"",INDIRECT("'SorP'!$A$"&amp;MATCH($S1455&amp;$J1455,SorP!C:C,0))))</f>
        <v/>
      </c>
      <c r="U1455" s="168"/>
      <c r="V1455" s="169" t="e">
        <f>IF(C1455="",NA(),MATCH($B1455&amp;$C1455,'Smelter Look-up'!$J:$J,0))</f>
        <v>#N/A</v>
      </c>
      <c r="X1455" s="170">
        <f t="shared" ca="1" si="113"/>
        <v>0</v>
      </c>
      <c r="AB1455" s="313" t="str">
        <f t="shared" si="115"/>
        <v/>
      </c>
      <c r="AC1455" s="170" t="str">
        <f t="shared" si="116"/>
        <v/>
      </c>
      <c r="AD1455" s="170" t="str">
        <f t="shared" si="117"/>
        <v/>
      </c>
    </row>
    <row r="1456" spans="1:30" s="170" customFormat="1" ht="20.399999999999999">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114"/>
        <v/>
      </c>
      <c r="T1456" s="155" t="str">
        <f ca="1">IF(B1456="","",IF(ISERROR(MATCH($J1456,SorP!$B$1:$B$6226,0)),"",INDIRECT("'SorP'!$A$"&amp;MATCH($S1456&amp;$J1456,SorP!C:C,0))))</f>
        <v/>
      </c>
      <c r="U1456" s="168"/>
      <c r="V1456" s="169" t="e">
        <f>IF(C1456="",NA(),MATCH($B1456&amp;$C1456,'Smelter Look-up'!$J:$J,0))</f>
        <v>#N/A</v>
      </c>
      <c r="X1456" s="170">
        <f t="shared" ca="1" si="113"/>
        <v>0</v>
      </c>
      <c r="AB1456" s="313" t="str">
        <f t="shared" si="115"/>
        <v/>
      </c>
      <c r="AC1456" s="170" t="str">
        <f t="shared" si="116"/>
        <v/>
      </c>
      <c r="AD1456" s="170" t="str">
        <f t="shared" si="117"/>
        <v/>
      </c>
    </row>
    <row r="1457" spans="1:30" s="170" customFormat="1" ht="20.399999999999999">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114"/>
        <v/>
      </c>
      <c r="T1457" s="155" t="str">
        <f ca="1">IF(B1457="","",IF(ISERROR(MATCH($J1457,SorP!$B$1:$B$6226,0)),"",INDIRECT("'SorP'!$A$"&amp;MATCH($S1457&amp;$J1457,SorP!C:C,0))))</f>
        <v/>
      </c>
      <c r="U1457" s="168"/>
      <c r="V1457" s="169" t="e">
        <f>IF(C1457="",NA(),MATCH($B1457&amp;$C1457,'Smelter Look-up'!$J:$J,0))</f>
        <v>#N/A</v>
      </c>
      <c r="X1457" s="170">
        <f t="shared" ca="1" si="113"/>
        <v>0</v>
      </c>
      <c r="AB1457" s="313" t="str">
        <f t="shared" si="115"/>
        <v/>
      </c>
      <c r="AC1457" s="170" t="str">
        <f t="shared" si="116"/>
        <v/>
      </c>
      <c r="AD1457" s="170" t="str">
        <f t="shared" si="117"/>
        <v/>
      </c>
    </row>
    <row r="1458" spans="1:30" s="170" customFormat="1" ht="20.399999999999999">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114"/>
        <v/>
      </c>
      <c r="T1458" s="155" t="str">
        <f ca="1">IF(B1458="","",IF(ISERROR(MATCH($J1458,SorP!$B$1:$B$6226,0)),"",INDIRECT("'SorP'!$A$"&amp;MATCH($S1458&amp;$J1458,SorP!C:C,0))))</f>
        <v/>
      </c>
      <c r="U1458" s="168"/>
      <c r="V1458" s="169" t="e">
        <f>IF(C1458="",NA(),MATCH($B1458&amp;$C1458,'Smelter Look-up'!$J:$J,0))</f>
        <v>#N/A</v>
      </c>
      <c r="X1458" s="170">
        <f t="shared" ca="1" si="113"/>
        <v>0</v>
      </c>
      <c r="AB1458" s="313" t="str">
        <f t="shared" si="115"/>
        <v/>
      </c>
      <c r="AC1458" s="170" t="str">
        <f t="shared" si="116"/>
        <v/>
      </c>
      <c r="AD1458" s="170" t="str">
        <f t="shared" si="117"/>
        <v/>
      </c>
    </row>
    <row r="1459" spans="1:30" s="170" customFormat="1" ht="20.399999999999999">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114"/>
        <v/>
      </c>
      <c r="T1459" s="155" t="str">
        <f ca="1">IF(B1459="","",IF(ISERROR(MATCH($J1459,SorP!$B$1:$B$6226,0)),"",INDIRECT("'SorP'!$A$"&amp;MATCH($S1459&amp;$J1459,SorP!C:C,0))))</f>
        <v/>
      </c>
      <c r="U1459" s="168"/>
      <c r="V1459" s="169" t="e">
        <f>IF(C1459="",NA(),MATCH($B1459&amp;$C1459,'Smelter Look-up'!$J:$J,0))</f>
        <v>#N/A</v>
      </c>
      <c r="X1459" s="170">
        <f t="shared" ca="1" si="113"/>
        <v>0</v>
      </c>
      <c r="AB1459" s="313" t="str">
        <f t="shared" si="115"/>
        <v/>
      </c>
      <c r="AC1459" s="170" t="str">
        <f t="shared" si="116"/>
        <v/>
      </c>
      <c r="AD1459" s="170" t="str">
        <f t="shared" si="117"/>
        <v/>
      </c>
    </row>
    <row r="1460" spans="1:30" s="170" customFormat="1" ht="20.399999999999999">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114"/>
        <v/>
      </c>
      <c r="T1460" s="155" t="str">
        <f ca="1">IF(B1460="","",IF(ISERROR(MATCH($J1460,SorP!$B$1:$B$6226,0)),"",INDIRECT("'SorP'!$A$"&amp;MATCH($S1460&amp;$J1460,SorP!C:C,0))))</f>
        <v/>
      </c>
      <c r="U1460" s="168"/>
      <c r="V1460" s="169" t="e">
        <f>IF(C1460="",NA(),MATCH($B1460&amp;$C1460,'Smelter Look-up'!$J:$J,0))</f>
        <v>#N/A</v>
      </c>
      <c r="X1460" s="170">
        <f t="shared" ca="1" si="113"/>
        <v>0</v>
      </c>
      <c r="AB1460" s="313" t="str">
        <f t="shared" si="115"/>
        <v/>
      </c>
      <c r="AC1460" s="170" t="str">
        <f t="shared" si="116"/>
        <v/>
      </c>
      <c r="AD1460" s="170" t="str">
        <f t="shared" si="117"/>
        <v/>
      </c>
    </row>
    <row r="1461" spans="1:30" s="170" customFormat="1" ht="20.399999999999999">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114"/>
        <v/>
      </c>
      <c r="T1461" s="155" t="str">
        <f ca="1">IF(B1461="","",IF(ISERROR(MATCH($J1461,SorP!$B$1:$B$6226,0)),"",INDIRECT("'SorP'!$A$"&amp;MATCH($S1461&amp;$J1461,SorP!C:C,0))))</f>
        <v/>
      </c>
      <c r="U1461" s="168"/>
      <c r="V1461" s="169" t="e">
        <f>IF(C1461="",NA(),MATCH($B1461&amp;$C1461,'Smelter Look-up'!$J:$J,0))</f>
        <v>#N/A</v>
      </c>
      <c r="X1461" s="170">
        <f t="shared" ca="1" si="113"/>
        <v>0</v>
      </c>
      <c r="AB1461" s="313" t="str">
        <f t="shared" si="115"/>
        <v/>
      </c>
      <c r="AC1461" s="170" t="str">
        <f t="shared" si="116"/>
        <v/>
      </c>
      <c r="AD1461" s="170" t="str">
        <f t="shared" si="117"/>
        <v/>
      </c>
    </row>
    <row r="1462" spans="1:30" s="170" customFormat="1" ht="20.399999999999999">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114"/>
        <v/>
      </c>
      <c r="T1462" s="155" t="str">
        <f ca="1">IF(B1462="","",IF(ISERROR(MATCH($J1462,SorP!$B$1:$B$6226,0)),"",INDIRECT("'SorP'!$A$"&amp;MATCH($S1462&amp;$J1462,SorP!C:C,0))))</f>
        <v/>
      </c>
      <c r="U1462" s="168"/>
      <c r="V1462" s="169" t="e">
        <f>IF(C1462="",NA(),MATCH($B1462&amp;$C1462,'Smelter Look-up'!$J:$J,0))</f>
        <v>#N/A</v>
      </c>
      <c r="X1462" s="170">
        <f t="shared" ca="1" si="113"/>
        <v>0</v>
      </c>
      <c r="AB1462" s="313" t="str">
        <f t="shared" si="115"/>
        <v/>
      </c>
      <c r="AC1462" s="170" t="str">
        <f t="shared" si="116"/>
        <v/>
      </c>
      <c r="AD1462" s="170" t="str">
        <f t="shared" si="117"/>
        <v/>
      </c>
    </row>
    <row r="1463" spans="1:30" s="170" customFormat="1" ht="20.399999999999999">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114"/>
        <v/>
      </c>
      <c r="T1463" s="155" t="str">
        <f ca="1">IF(B1463="","",IF(ISERROR(MATCH($J1463,SorP!$B$1:$B$6226,0)),"",INDIRECT("'SorP'!$A$"&amp;MATCH($S1463&amp;$J1463,SorP!C:C,0))))</f>
        <v/>
      </c>
      <c r="U1463" s="168"/>
      <c r="V1463" s="169" t="e">
        <f>IF(C1463="",NA(),MATCH($B1463&amp;$C1463,'Smelter Look-up'!$J:$J,0))</f>
        <v>#N/A</v>
      </c>
      <c r="X1463" s="170">
        <f t="shared" ca="1" si="113"/>
        <v>0</v>
      </c>
      <c r="AB1463" s="313" t="str">
        <f t="shared" si="115"/>
        <v/>
      </c>
      <c r="AC1463" s="170" t="str">
        <f t="shared" si="116"/>
        <v/>
      </c>
      <c r="AD1463" s="170" t="str">
        <f t="shared" si="117"/>
        <v/>
      </c>
    </row>
    <row r="1464" spans="1:30" s="170" customFormat="1" ht="20.399999999999999">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114"/>
        <v/>
      </c>
      <c r="T1464" s="155" t="str">
        <f ca="1">IF(B1464="","",IF(ISERROR(MATCH($J1464,SorP!$B$1:$B$6226,0)),"",INDIRECT("'SorP'!$A$"&amp;MATCH($S1464&amp;$J1464,SorP!C:C,0))))</f>
        <v/>
      </c>
      <c r="U1464" s="168"/>
      <c r="V1464" s="169" t="e">
        <f>IF(C1464="",NA(),MATCH($B1464&amp;$C1464,'Smelter Look-up'!$J:$J,0))</f>
        <v>#N/A</v>
      </c>
      <c r="X1464" s="170">
        <f t="shared" ca="1" si="113"/>
        <v>0</v>
      </c>
      <c r="AB1464" s="313" t="str">
        <f t="shared" si="115"/>
        <v/>
      </c>
      <c r="AC1464" s="170" t="str">
        <f t="shared" si="116"/>
        <v/>
      </c>
      <c r="AD1464" s="170" t="str">
        <f t="shared" si="117"/>
        <v/>
      </c>
    </row>
    <row r="1465" spans="1:30" s="170" customFormat="1" ht="20.399999999999999">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114"/>
        <v/>
      </c>
      <c r="T1465" s="155" t="str">
        <f ca="1">IF(B1465="","",IF(ISERROR(MATCH($J1465,SorP!$B$1:$B$6226,0)),"",INDIRECT("'SorP'!$A$"&amp;MATCH($S1465&amp;$J1465,SorP!C:C,0))))</f>
        <v/>
      </c>
      <c r="U1465" s="168"/>
      <c r="V1465" s="169" t="e">
        <f>IF(C1465="",NA(),MATCH($B1465&amp;$C1465,'Smelter Look-up'!$J:$J,0))</f>
        <v>#N/A</v>
      </c>
      <c r="X1465" s="170">
        <f t="shared" ca="1" si="113"/>
        <v>0</v>
      </c>
      <c r="AB1465" s="313" t="str">
        <f t="shared" si="115"/>
        <v/>
      </c>
      <c r="AC1465" s="170" t="str">
        <f t="shared" si="116"/>
        <v/>
      </c>
      <c r="AD1465" s="170" t="str">
        <f t="shared" si="117"/>
        <v/>
      </c>
    </row>
    <row r="1466" spans="1:30" s="170" customFormat="1" ht="20.399999999999999">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114"/>
        <v/>
      </c>
      <c r="T1466" s="155" t="str">
        <f ca="1">IF(B1466="","",IF(ISERROR(MATCH($J1466,SorP!$B$1:$B$6226,0)),"",INDIRECT("'SorP'!$A$"&amp;MATCH($S1466&amp;$J1466,SorP!C:C,0))))</f>
        <v/>
      </c>
      <c r="U1466" s="168"/>
      <c r="V1466" s="169" t="e">
        <f>IF(C1466="",NA(),MATCH($B1466&amp;$C1466,'Smelter Look-up'!$J:$J,0))</f>
        <v>#N/A</v>
      </c>
      <c r="X1466" s="170">
        <f t="shared" ca="1" si="113"/>
        <v>0</v>
      </c>
      <c r="AB1466" s="313" t="str">
        <f t="shared" si="115"/>
        <v/>
      </c>
      <c r="AC1466" s="170" t="str">
        <f t="shared" si="116"/>
        <v/>
      </c>
      <c r="AD1466" s="170" t="str">
        <f t="shared" si="117"/>
        <v/>
      </c>
    </row>
    <row r="1467" spans="1:30" s="170" customFormat="1" ht="20.399999999999999">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114"/>
        <v/>
      </c>
      <c r="T1467" s="155" t="str">
        <f ca="1">IF(B1467="","",IF(ISERROR(MATCH($J1467,SorP!$B$1:$B$6226,0)),"",INDIRECT("'SorP'!$A$"&amp;MATCH($S1467&amp;$J1467,SorP!C:C,0))))</f>
        <v/>
      </c>
      <c r="U1467" s="168"/>
      <c r="V1467" s="169" t="e">
        <f>IF(C1467="",NA(),MATCH($B1467&amp;$C1467,'Smelter Look-up'!$J:$J,0))</f>
        <v>#N/A</v>
      </c>
      <c r="X1467" s="170">
        <f t="shared" ca="1" si="113"/>
        <v>0</v>
      </c>
      <c r="AB1467" s="313" t="str">
        <f t="shared" si="115"/>
        <v/>
      </c>
      <c r="AC1467" s="170" t="str">
        <f t="shared" si="116"/>
        <v/>
      </c>
      <c r="AD1467" s="170" t="str">
        <f t="shared" si="117"/>
        <v/>
      </c>
    </row>
    <row r="1468" spans="1:30" s="170" customFormat="1" ht="20.399999999999999">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114"/>
        <v/>
      </c>
      <c r="T1468" s="155" t="str">
        <f ca="1">IF(B1468="","",IF(ISERROR(MATCH($J1468,SorP!$B$1:$B$6226,0)),"",INDIRECT("'SorP'!$A$"&amp;MATCH($S1468&amp;$J1468,SorP!C:C,0))))</f>
        <v/>
      </c>
      <c r="U1468" s="168"/>
      <c r="V1468" s="169" t="e">
        <f>IF(C1468="",NA(),MATCH($B1468&amp;$C1468,'Smelter Look-up'!$J:$J,0))</f>
        <v>#N/A</v>
      </c>
      <c r="X1468" s="170">
        <f t="shared" ca="1" si="113"/>
        <v>0</v>
      </c>
      <c r="AB1468" s="313" t="str">
        <f t="shared" si="115"/>
        <v/>
      </c>
      <c r="AC1468" s="170" t="str">
        <f t="shared" si="116"/>
        <v/>
      </c>
      <c r="AD1468" s="170" t="str">
        <f t="shared" si="117"/>
        <v/>
      </c>
    </row>
    <row r="1469" spans="1:30" s="170" customFormat="1" ht="20.399999999999999">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114"/>
        <v/>
      </c>
      <c r="T1469" s="155" t="str">
        <f ca="1">IF(B1469="","",IF(ISERROR(MATCH($J1469,SorP!$B$1:$B$6226,0)),"",INDIRECT("'SorP'!$A$"&amp;MATCH($S1469&amp;$J1469,SorP!C:C,0))))</f>
        <v/>
      </c>
      <c r="U1469" s="168"/>
      <c r="V1469" s="169" t="e">
        <f>IF(C1469="",NA(),MATCH($B1469&amp;$C1469,'Smelter Look-up'!$J:$J,0))</f>
        <v>#N/A</v>
      </c>
      <c r="X1469" s="170">
        <f t="shared" ca="1" si="113"/>
        <v>0</v>
      </c>
      <c r="AB1469" s="313" t="str">
        <f t="shared" si="115"/>
        <v/>
      </c>
      <c r="AC1469" s="170" t="str">
        <f t="shared" si="116"/>
        <v/>
      </c>
      <c r="AD1469" s="170" t="str">
        <f t="shared" si="117"/>
        <v/>
      </c>
    </row>
    <row r="1470" spans="1:30" s="170" customFormat="1" ht="20.399999999999999">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114"/>
        <v/>
      </c>
      <c r="T1470" s="155" t="str">
        <f ca="1">IF(B1470="","",IF(ISERROR(MATCH($J1470,SorP!$B$1:$B$6226,0)),"",INDIRECT("'SorP'!$A$"&amp;MATCH($S1470&amp;$J1470,SorP!C:C,0))))</f>
        <v/>
      </c>
      <c r="U1470" s="168"/>
      <c r="V1470" s="169" t="e">
        <f>IF(C1470="",NA(),MATCH($B1470&amp;$C1470,'Smelter Look-up'!$J:$J,0))</f>
        <v>#N/A</v>
      </c>
      <c r="X1470" s="170">
        <f t="shared" ca="1" si="113"/>
        <v>0</v>
      </c>
      <c r="AB1470" s="313" t="str">
        <f t="shared" si="115"/>
        <v/>
      </c>
      <c r="AC1470" s="170" t="str">
        <f t="shared" si="116"/>
        <v/>
      </c>
      <c r="AD1470" s="170" t="str">
        <f t="shared" si="117"/>
        <v/>
      </c>
    </row>
    <row r="1471" spans="1:30" s="170" customFormat="1" ht="20.399999999999999">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114"/>
        <v/>
      </c>
      <c r="T1471" s="155" t="str">
        <f ca="1">IF(B1471="","",IF(ISERROR(MATCH($J1471,SorP!$B$1:$B$6226,0)),"",INDIRECT("'SorP'!$A$"&amp;MATCH($S1471&amp;$J1471,SorP!C:C,0))))</f>
        <v/>
      </c>
      <c r="U1471" s="168"/>
      <c r="V1471" s="169" t="e">
        <f>IF(C1471="",NA(),MATCH($B1471&amp;$C1471,'Smelter Look-up'!$J:$J,0))</f>
        <v>#N/A</v>
      </c>
      <c r="X1471" s="170">
        <f t="shared" ref="X1471:X1534" ca="1" si="118">IF(AND(C1471="Smelter not listed",OR(LEN(D1471)=0,LEN(E1471)=0)),1,0)</f>
        <v>0</v>
      </c>
      <c r="AB1471" s="313" t="str">
        <f t="shared" si="115"/>
        <v/>
      </c>
      <c r="AC1471" s="170" t="str">
        <f t="shared" si="116"/>
        <v/>
      </c>
      <c r="AD1471" s="170" t="str">
        <f t="shared" si="117"/>
        <v/>
      </c>
    </row>
    <row r="1472" spans="1:30" s="170" customFormat="1" ht="20.399999999999999">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ref="S1472:S1535" ca="1" si="119">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118"/>
        <v>0</v>
      </c>
      <c r="AB1472" s="313" t="str">
        <f t="shared" si="115"/>
        <v/>
      </c>
      <c r="AC1472" s="170" t="str">
        <f t="shared" si="116"/>
        <v/>
      </c>
      <c r="AD1472" s="170" t="str">
        <f t="shared" si="117"/>
        <v/>
      </c>
    </row>
    <row r="1473" spans="1:30" s="170" customFormat="1" ht="20.399999999999999">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119"/>
        <v/>
      </c>
      <c r="T1473" s="155" t="str">
        <f ca="1">IF(B1473="","",IF(ISERROR(MATCH($J1473,SorP!$B$1:$B$6226,0)),"",INDIRECT("'SorP'!$A$"&amp;MATCH($S1473&amp;$J1473,SorP!C:C,0))))</f>
        <v/>
      </c>
      <c r="U1473" s="168"/>
      <c r="V1473" s="169" t="e">
        <f>IF(C1473="",NA(),MATCH($B1473&amp;$C1473,'Smelter Look-up'!$J:$J,0))</f>
        <v>#N/A</v>
      </c>
      <c r="X1473" s="170">
        <f t="shared" ca="1" si="118"/>
        <v>0</v>
      </c>
      <c r="AB1473" s="313" t="str">
        <f t="shared" si="115"/>
        <v/>
      </c>
      <c r="AC1473" s="170" t="str">
        <f t="shared" si="116"/>
        <v/>
      </c>
      <c r="AD1473" s="170" t="str">
        <f t="shared" si="117"/>
        <v/>
      </c>
    </row>
    <row r="1474" spans="1:30" s="170" customFormat="1" ht="20.399999999999999">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119"/>
        <v/>
      </c>
      <c r="T1474" s="155" t="str">
        <f ca="1">IF(B1474="","",IF(ISERROR(MATCH($J1474,SorP!$B$1:$B$6226,0)),"",INDIRECT("'SorP'!$A$"&amp;MATCH($S1474&amp;$J1474,SorP!C:C,0))))</f>
        <v/>
      </c>
      <c r="U1474" s="168"/>
      <c r="V1474" s="169" t="e">
        <f>IF(C1474="",NA(),MATCH($B1474&amp;$C1474,'Smelter Look-up'!$J:$J,0))</f>
        <v>#N/A</v>
      </c>
      <c r="X1474" s="170">
        <f t="shared" ca="1" si="118"/>
        <v>0</v>
      </c>
      <c r="AB1474" s="313" t="str">
        <f t="shared" si="115"/>
        <v/>
      </c>
      <c r="AC1474" s="170" t="str">
        <f t="shared" si="116"/>
        <v/>
      </c>
      <c r="AD1474" s="170" t="str">
        <f t="shared" si="117"/>
        <v/>
      </c>
    </row>
    <row r="1475" spans="1:30" s="170" customFormat="1" ht="20.399999999999999">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119"/>
        <v/>
      </c>
      <c r="T1475" s="155" t="str">
        <f ca="1">IF(B1475="","",IF(ISERROR(MATCH($J1475,SorP!$B$1:$B$6226,0)),"",INDIRECT("'SorP'!$A$"&amp;MATCH($S1475&amp;$J1475,SorP!C:C,0))))</f>
        <v/>
      </c>
      <c r="U1475" s="168"/>
      <c r="V1475" s="169" t="e">
        <f>IF(C1475="",NA(),MATCH($B1475&amp;$C1475,'Smelter Look-up'!$J:$J,0))</f>
        <v>#N/A</v>
      </c>
      <c r="X1475" s="170">
        <f t="shared" ca="1" si="118"/>
        <v>0</v>
      </c>
      <c r="AB1475" s="313" t="str">
        <f t="shared" si="115"/>
        <v/>
      </c>
      <c r="AC1475" s="170" t="str">
        <f t="shared" si="116"/>
        <v/>
      </c>
      <c r="AD1475" s="170" t="str">
        <f t="shared" si="117"/>
        <v/>
      </c>
    </row>
    <row r="1476" spans="1:30" s="170" customFormat="1" ht="20.399999999999999">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119"/>
        <v/>
      </c>
      <c r="T1476" s="155" t="str">
        <f ca="1">IF(B1476="","",IF(ISERROR(MATCH($J1476,SorP!$B$1:$B$6226,0)),"",INDIRECT("'SorP'!$A$"&amp;MATCH($S1476&amp;$J1476,SorP!C:C,0))))</f>
        <v/>
      </c>
      <c r="U1476" s="168"/>
      <c r="V1476" s="169" t="e">
        <f>IF(C1476="",NA(),MATCH($B1476&amp;$C1476,'Smelter Look-up'!$J:$J,0))</f>
        <v>#N/A</v>
      </c>
      <c r="X1476" s="170">
        <f t="shared" ca="1" si="118"/>
        <v>0</v>
      </c>
      <c r="AB1476" s="313" t="str">
        <f t="shared" si="115"/>
        <v/>
      </c>
      <c r="AC1476" s="170" t="str">
        <f t="shared" si="116"/>
        <v/>
      </c>
      <c r="AD1476" s="170" t="str">
        <f t="shared" si="117"/>
        <v/>
      </c>
    </row>
    <row r="1477" spans="1:30" s="170" customFormat="1" ht="20.399999999999999">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119"/>
        <v/>
      </c>
      <c r="T1477" s="155" t="str">
        <f ca="1">IF(B1477="","",IF(ISERROR(MATCH($J1477,SorP!$B$1:$B$6226,0)),"",INDIRECT("'SorP'!$A$"&amp;MATCH($S1477&amp;$J1477,SorP!C:C,0))))</f>
        <v/>
      </c>
      <c r="U1477" s="168"/>
      <c r="V1477" s="169" t="e">
        <f>IF(C1477="",NA(),MATCH($B1477&amp;$C1477,'Smelter Look-up'!$J:$J,0))</f>
        <v>#N/A</v>
      </c>
      <c r="X1477" s="170">
        <f t="shared" ca="1" si="118"/>
        <v>0</v>
      </c>
      <c r="AB1477" s="313" t="str">
        <f t="shared" si="115"/>
        <v/>
      </c>
      <c r="AC1477" s="170" t="str">
        <f t="shared" si="116"/>
        <v/>
      </c>
      <c r="AD1477" s="170" t="str">
        <f t="shared" si="117"/>
        <v/>
      </c>
    </row>
    <row r="1478" spans="1:30" s="170" customFormat="1" ht="20.399999999999999">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119"/>
        <v/>
      </c>
      <c r="T1478" s="155" t="str">
        <f ca="1">IF(B1478="","",IF(ISERROR(MATCH($J1478,SorP!$B$1:$B$6226,0)),"",INDIRECT("'SorP'!$A$"&amp;MATCH($S1478&amp;$J1478,SorP!C:C,0))))</f>
        <v/>
      </c>
      <c r="U1478" s="168"/>
      <c r="V1478" s="169" t="e">
        <f>IF(C1478="",NA(),MATCH($B1478&amp;$C1478,'Smelter Look-up'!$J:$J,0))</f>
        <v>#N/A</v>
      </c>
      <c r="X1478" s="170">
        <f t="shared" ca="1" si="118"/>
        <v>0</v>
      </c>
      <c r="AB1478" s="313" t="str">
        <f t="shared" ref="AB1478:AB1541" si="120">IF(C1478="","",B1478)</f>
        <v/>
      </c>
      <c r="AC1478" s="170" t="str">
        <f t="shared" ref="AC1478:AC1541" si="121">B1478</f>
        <v/>
      </c>
      <c r="AD1478" s="170" t="str">
        <f t="shared" ref="AD1478:AD1541" si="122">IF(C1478="Smelter not listed",D1478,C1478)</f>
        <v/>
      </c>
    </row>
    <row r="1479" spans="1:30" s="170" customFormat="1" ht="20.399999999999999">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119"/>
        <v/>
      </c>
      <c r="T1479" s="155" t="str">
        <f ca="1">IF(B1479="","",IF(ISERROR(MATCH($J1479,SorP!$B$1:$B$6226,0)),"",INDIRECT("'SorP'!$A$"&amp;MATCH($S1479&amp;$J1479,SorP!C:C,0))))</f>
        <v/>
      </c>
      <c r="U1479" s="168"/>
      <c r="V1479" s="169" t="e">
        <f>IF(C1479="",NA(),MATCH($B1479&amp;$C1479,'Smelter Look-up'!$J:$J,0))</f>
        <v>#N/A</v>
      </c>
      <c r="X1479" s="170">
        <f t="shared" ca="1" si="118"/>
        <v>0</v>
      </c>
      <c r="AB1479" s="313" t="str">
        <f t="shared" si="120"/>
        <v/>
      </c>
      <c r="AC1479" s="170" t="str">
        <f t="shared" si="121"/>
        <v/>
      </c>
      <c r="AD1479" s="170" t="str">
        <f t="shared" si="122"/>
        <v/>
      </c>
    </row>
    <row r="1480" spans="1:30" s="170" customFormat="1" ht="20.399999999999999">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119"/>
        <v/>
      </c>
      <c r="T1480" s="155" t="str">
        <f ca="1">IF(B1480="","",IF(ISERROR(MATCH($J1480,SorP!$B$1:$B$6226,0)),"",INDIRECT("'SorP'!$A$"&amp;MATCH($S1480&amp;$J1480,SorP!C:C,0))))</f>
        <v/>
      </c>
      <c r="U1480" s="168"/>
      <c r="V1480" s="169" t="e">
        <f>IF(C1480="",NA(),MATCH($B1480&amp;$C1480,'Smelter Look-up'!$J:$J,0))</f>
        <v>#N/A</v>
      </c>
      <c r="X1480" s="170">
        <f t="shared" ca="1" si="118"/>
        <v>0</v>
      </c>
      <c r="AB1480" s="313" t="str">
        <f t="shared" si="120"/>
        <v/>
      </c>
      <c r="AC1480" s="170" t="str">
        <f t="shared" si="121"/>
        <v/>
      </c>
      <c r="AD1480" s="170" t="str">
        <f t="shared" si="122"/>
        <v/>
      </c>
    </row>
    <row r="1481" spans="1:30" s="170" customFormat="1" ht="20.399999999999999">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119"/>
        <v/>
      </c>
      <c r="T1481" s="155" t="str">
        <f ca="1">IF(B1481="","",IF(ISERROR(MATCH($J1481,SorP!$B$1:$B$6226,0)),"",INDIRECT("'SorP'!$A$"&amp;MATCH($S1481&amp;$J1481,SorP!C:C,0))))</f>
        <v/>
      </c>
      <c r="U1481" s="168"/>
      <c r="V1481" s="169" t="e">
        <f>IF(C1481="",NA(),MATCH($B1481&amp;$C1481,'Smelter Look-up'!$J:$J,0))</f>
        <v>#N/A</v>
      </c>
      <c r="X1481" s="170">
        <f t="shared" ca="1" si="118"/>
        <v>0</v>
      </c>
      <c r="AB1481" s="313" t="str">
        <f t="shared" si="120"/>
        <v/>
      </c>
      <c r="AC1481" s="170" t="str">
        <f t="shared" si="121"/>
        <v/>
      </c>
      <c r="AD1481" s="170" t="str">
        <f t="shared" si="122"/>
        <v/>
      </c>
    </row>
    <row r="1482" spans="1:30" s="170" customFormat="1" ht="20.399999999999999">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119"/>
        <v/>
      </c>
      <c r="T1482" s="155" t="str">
        <f ca="1">IF(B1482="","",IF(ISERROR(MATCH($J1482,SorP!$B$1:$B$6226,0)),"",INDIRECT("'SorP'!$A$"&amp;MATCH($S1482&amp;$J1482,SorP!C:C,0))))</f>
        <v/>
      </c>
      <c r="U1482" s="168"/>
      <c r="V1482" s="169" t="e">
        <f>IF(C1482="",NA(),MATCH($B1482&amp;$C1482,'Smelter Look-up'!$J:$J,0))</f>
        <v>#N/A</v>
      </c>
      <c r="X1482" s="170">
        <f t="shared" ca="1" si="118"/>
        <v>0</v>
      </c>
      <c r="AB1482" s="313" t="str">
        <f t="shared" si="120"/>
        <v/>
      </c>
      <c r="AC1482" s="170" t="str">
        <f t="shared" si="121"/>
        <v/>
      </c>
      <c r="AD1482" s="170" t="str">
        <f t="shared" si="122"/>
        <v/>
      </c>
    </row>
    <row r="1483" spans="1:30" s="170" customFormat="1" ht="20.399999999999999">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119"/>
        <v/>
      </c>
      <c r="T1483" s="155" t="str">
        <f ca="1">IF(B1483="","",IF(ISERROR(MATCH($J1483,SorP!$B$1:$B$6226,0)),"",INDIRECT("'SorP'!$A$"&amp;MATCH($S1483&amp;$J1483,SorP!C:C,0))))</f>
        <v/>
      </c>
      <c r="U1483" s="168"/>
      <c r="V1483" s="169" t="e">
        <f>IF(C1483="",NA(),MATCH($B1483&amp;$C1483,'Smelter Look-up'!$J:$J,0))</f>
        <v>#N/A</v>
      </c>
      <c r="X1483" s="170">
        <f t="shared" ca="1" si="118"/>
        <v>0</v>
      </c>
      <c r="AB1483" s="313" t="str">
        <f t="shared" si="120"/>
        <v/>
      </c>
      <c r="AC1483" s="170" t="str">
        <f t="shared" si="121"/>
        <v/>
      </c>
      <c r="AD1483" s="170" t="str">
        <f t="shared" si="122"/>
        <v/>
      </c>
    </row>
    <row r="1484" spans="1:30" s="170" customFormat="1" ht="20.399999999999999">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119"/>
        <v/>
      </c>
      <c r="T1484" s="155" t="str">
        <f ca="1">IF(B1484="","",IF(ISERROR(MATCH($J1484,SorP!$B$1:$B$6226,0)),"",INDIRECT("'SorP'!$A$"&amp;MATCH($S1484&amp;$J1484,SorP!C:C,0))))</f>
        <v/>
      </c>
      <c r="U1484" s="168"/>
      <c r="V1484" s="169" t="e">
        <f>IF(C1484="",NA(),MATCH($B1484&amp;$C1484,'Smelter Look-up'!$J:$J,0))</f>
        <v>#N/A</v>
      </c>
      <c r="X1484" s="170">
        <f t="shared" ca="1" si="118"/>
        <v>0</v>
      </c>
      <c r="AB1484" s="313" t="str">
        <f t="shared" si="120"/>
        <v/>
      </c>
      <c r="AC1484" s="170" t="str">
        <f t="shared" si="121"/>
        <v/>
      </c>
      <c r="AD1484" s="170" t="str">
        <f t="shared" si="122"/>
        <v/>
      </c>
    </row>
    <row r="1485" spans="1:30" s="170" customFormat="1" ht="20.399999999999999">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119"/>
        <v/>
      </c>
      <c r="T1485" s="155" t="str">
        <f ca="1">IF(B1485="","",IF(ISERROR(MATCH($J1485,SorP!$B$1:$B$6226,0)),"",INDIRECT("'SorP'!$A$"&amp;MATCH($S1485&amp;$J1485,SorP!C:C,0))))</f>
        <v/>
      </c>
      <c r="U1485" s="168"/>
      <c r="V1485" s="169" t="e">
        <f>IF(C1485="",NA(),MATCH($B1485&amp;$C1485,'Smelter Look-up'!$J:$J,0))</f>
        <v>#N/A</v>
      </c>
      <c r="X1485" s="170">
        <f t="shared" ca="1" si="118"/>
        <v>0</v>
      </c>
      <c r="AB1485" s="313" t="str">
        <f t="shared" si="120"/>
        <v/>
      </c>
      <c r="AC1485" s="170" t="str">
        <f t="shared" si="121"/>
        <v/>
      </c>
      <c r="AD1485" s="170" t="str">
        <f t="shared" si="122"/>
        <v/>
      </c>
    </row>
    <row r="1486" spans="1:30" s="170" customFormat="1" ht="20.399999999999999">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119"/>
        <v/>
      </c>
      <c r="T1486" s="155" t="str">
        <f ca="1">IF(B1486="","",IF(ISERROR(MATCH($J1486,SorP!$B$1:$B$6226,0)),"",INDIRECT("'SorP'!$A$"&amp;MATCH($S1486&amp;$J1486,SorP!C:C,0))))</f>
        <v/>
      </c>
      <c r="U1486" s="168"/>
      <c r="V1486" s="169" t="e">
        <f>IF(C1486="",NA(),MATCH($B1486&amp;$C1486,'Smelter Look-up'!$J:$J,0))</f>
        <v>#N/A</v>
      </c>
      <c r="X1486" s="170">
        <f t="shared" ca="1" si="118"/>
        <v>0</v>
      </c>
      <c r="AB1486" s="313" t="str">
        <f t="shared" si="120"/>
        <v/>
      </c>
      <c r="AC1486" s="170" t="str">
        <f t="shared" si="121"/>
        <v/>
      </c>
      <c r="AD1486" s="170" t="str">
        <f t="shared" si="122"/>
        <v/>
      </c>
    </row>
    <row r="1487" spans="1:30" s="170" customFormat="1" ht="20.399999999999999">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119"/>
        <v/>
      </c>
      <c r="T1487" s="155" t="str">
        <f ca="1">IF(B1487="","",IF(ISERROR(MATCH($J1487,SorP!$B$1:$B$6226,0)),"",INDIRECT("'SorP'!$A$"&amp;MATCH($S1487&amp;$J1487,SorP!C:C,0))))</f>
        <v/>
      </c>
      <c r="U1487" s="168"/>
      <c r="V1487" s="169" t="e">
        <f>IF(C1487="",NA(),MATCH($B1487&amp;$C1487,'Smelter Look-up'!$J:$J,0))</f>
        <v>#N/A</v>
      </c>
      <c r="X1487" s="170">
        <f t="shared" ca="1" si="118"/>
        <v>0</v>
      </c>
      <c r="AB1487" s="313" t="str">
        <f t="shared" si="120"/>
        <v/>
      </c>
      <c r="AC1487" s="170" t="str">
        <f t="shared" si="121"/>
        <v/>
      </c>
      <c r="AD1487" s="170" t="str">
        <f t="shared" si="122"/>
        <v/>
      </c>
    </row>
    <row r="1488" spans="1:30" s="170" customFormat="1" ht="20.399999999999999">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119"/>
        <v/>
      </c>
      <c r="T1488" s="155" t="str">
        <f ca="1">IF(B1488="","",IF(ISERROR(MATCH($J1488,SorP!$B$1:$B$6226,0)),"",INDIRECT("'SorP'!$A$"&amp;MATCH($S1488&amp;$J1488,SorP!C:C,0))))</f>
        <v/>
      </c>
      <c r="U1488" s="168"/>
      <c r="V1488" s="169" t="e">
        <f>IF(C1488="",NA(),MATCH($B1488&amp;$C1488,'Smelter Look-up'!$J:$J,0))</f>
        <v>#N/A</v>
      </c>
      <c r="X1488" s="170">
        <f t="shared" ca="1" si="118"/>
        <v>0</v>
      </c>
      <c r="AB1488" s="313" t="str">
        <f t="shared" si="120"/>
        <v/>
      </c>
      <c r="AC1488" s="170" t="str">
        <f t="shared" si="121"/>
        <v/>
      </c>
      <c r="AD1488" s="170" t="str">
        <f t="shared" si="122"/>
        <v/>
      </c>
    </row>
    <row r="1489" spans="1:30" s="170" customFormat="1" ht="20.399999999999999">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119"/>
        <v/>
      </c>
      <c r="T1489" s="155" t="str">
        <f ca="1">IF(B1489="","",IF(ISERROR(MATCH($J1489,SorP!$B$1:$B$6226,0)),"",INDIRECT("'SorP'!$A$"&amp;MATCH($S1489&amp;$J1489,SorP!C:C,0))))</f>
        <v/>
      </c>
      <c r="U1489" s="168"/>
      <c r="V1489" s="169" t="e">
        <f>IF(C1489="",NA(),MATCH($B1489&amp;$C1489,'Smelter Look-up'!$J:$J,0))</f>
        <v>#N/A</v>
      </c>
      <c r="X1489" s="170">
        <f t="shared" ca="1" si="118"/>
        <v>0</v>
      </c>
      <c r="AB1489" s="313" t="str">
        <f t="shared" si="120"/>
        <v/>
      </c>
      <c r="AC1489" s="170" t="str">
        <f t="shared" si="121"/>
        <v/>
      </c>
      <c r="AD1489" s="170" t="str">
        <f t="shared" si="122"/>
        <v/>
      </c>
    </row>
    <row r="1490" spans="1:30" s="170" customFormat="1" ht="20.399999999999999">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119"/>
        <v/>
      </c>
      <c r="T1490" s="155" t="str">
        <f ca="1">IF(B1490="","",IF(ISERROR(MATCH($J1490,SorP!$B$1:$B$6226,0)),"",INDIRECT("'SorP'!$A$"&amp;MATCH($S1490&amp;$J1490,SorP!C:C,0))))</f>
        <v/>
      </c>
      <c r="U1490" s="168"/>
      <c r="V1490" s="169" t="e">
        <f>IF(C1490="",NA(),MATCH($B1490&amp;$C1490,'Smelter Look-up'!$J:$J,0))</f>
        <v>#N/A</v>
      </c>
      <c r="X1490" s="170">
        <f t="shared" ca="1" si="118"/>
        <v>0</v>
      </c>
      <c r="AB1490" s="313" t="str">
        <f t="shared" si="120"/>
        <v/>
      </c>
      <c r="AC1490" s="170" t="str">
        <f t="shared" si="121"/>
        <v/>
      </c>
      <c r="AD1490" s="170" t="str">
        <f t="shared" si="122"/>
        <v/>
      </c>
    </row>
    <row r="1491" spans="1:30" s="170" customFormat="1" ht="20.399999999999999">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119"/>
        <v/>
      </c>
      <c r="T1491" s="155" t="str">
        <f ca="1">IF(B1491="","",IF(ISERROR(MATCH($J1491,SorP!$B$1:$B$6226,0)),"",INDIRECT("'SorP'!$A$"&amp;MATCH($S1491&amp;$J1491,SorP!C:C,0))))</f>
        <v/>
      </c>
      <c r="U1491" s="168"/>
      <c r="V1491" s="169" t="e">
        <f>IF(C1491="",NA(),MATCH($B1491&amp;$C1491,'Smelter Look-up'!$J:$J,0))</f>
        <v>#N/A</v>
      </c>
      <c r="X1491" s="170">
        <f t="shared" ca="1" si="118"/>
        <v>0</v>
      </c>
      <c r="AB1491" s="313" t="str">
        <f t="shared" si="120"/>
        <v/>
      </c>
      <c r="AC1491" s="170" t="str">
        <f t="shared" si="121"/>
        <v/>
      </c>
      <c r="AD1491" s="170" t="str">
        <f t="shared" si="122"/>
        <v/>
      </c>
    </row>
    <row r="1492" spans="1:30" s="170" customFormat="1" ht="20.399999999999999">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119"/>
        <v/>
      </c>
      <c r="T1492" s="155" t="str">
        <f ca="1">IF(B1492="","",IF(ISERROR(MATCH($J1492,SorP!$B$1:$B$6226,0)),"",INDIRECT("'SorP'!$A$"&amp;MATCH($S1492&amp;$J1492,SorP!C:C,0))))</f>
        <v/>
      </c>
      <c r="U1492" s="168"/>
      <c r="V1492" s="169" t="e">
        <f>IF(C1492="",NA(),MATCH($B1492&amp;$C1492,'Smelter Look-up'!$J:$J,0))</f>
        <v>#N/A</v>
      </c>
      <c r="X1492" s="170">
        <f t="shared" ca="1" si="118"/>
        <v>0</v>
      </c>
      <c r="AB1492" s="313" t="str">
        <f t="shared" si="120"/>
        <v/>
      </c>
      <c r="AC1492" s="170" t="str">
        <f t="shared" si="121"/>
        <v/>
      </c>
      <c r="AD1492" s="170" t="str">
        <f t="shared" si="122"/>
        <v/>
      </c>
    </row>
    <row r="1493" spans="1:30" s="170" customFormat="1" ht="20.399999999999999">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119"/>
        <v/>
      </c>
      <c r="T1493" s="155" t="str">
        <f ca="1">IF(B1493="","",IF(ISERROR(MATCH($J1493,SorP!$B$1:$B$6226,0)),"",INDIRECT("'SorP'!$A$"&amp;MATCH($S1493&amp;$J1493,SorP!C:C,0))))</f>
        <v/>
      </c>
      <c r="U1493" s="168"/>
      <c r="V1493" s="169" t="e">
        <f>IF(C1493="",NA(),MATCH($B1493&amp;$C1493,'Smelter Look-up'!$J:$J,0))</f>
        <v>#N/A</v>
      </c>
      <c r="X1493" s="170">
        <f t="shared" ca="1" si="118"/>
        <v>0</v>
      </c>
      <c r="AB1493" s="313" t="str">
        <f t="shared" si="120"/>
        <v/>
      </c>
      <c r="AC1493" s="170" t="str">
        <f t="shared" si="121"/>
        <v/>
      </c>
      <c r="AD1493" s="170" t="str">
        <f t="shared" si="122"/>
        <v/>
      </c>
    </row>
    <row r="1494" spans="1:30" s="170" customFormat="1" ht="20.399999999999999">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119"/>
        <v/>
      </c>
      <c r="T1494" s="155" t="str">
        <f ca="1">IF(B1494="","",IF(ISERROR(MATCH($J1494,SorP!$B$1:$B$6226,0)),"",INDIRECT("'SorP'!$A$"&amp;MATCH($S1494&amp;$J1494,SorP!C:C,0))))</f>
        <v/>
      </c>
      <c r="U1494" s="168"/>
      <c r="V1494" s="169" t="e">
        <f>IF(C1494="",NA(),MATCH($B1494&amp;$C1494,'Smelter Look-up'!$J:$J,0))</f>
        <v>#N/A</v>
      </c>
      <c r="X1494" s="170">
        <f t="shared" ca="1" si="118"/>
        <v>0</v>
      </c>
      <c r="AB1494" s="313" t="str">
        <f t="shared" si="120"/>
        <v/>
      </c>
      <c r="AC1494" s="170" t="str">
        <f t="shared" si="121"/>
        <v/>
      </c>
      <c r="AD1494" s="170" t="str">
        <f t="shared" si="122"/>
        <v/>
      </c>
    </row>
    <row r="1495" spans="1:30" s="170" customFormat="1" ht="20.399999999999999">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119"/>
        <v/>
      </c>
      <c r="T1495" s="155" t="str">
        <f ca="1">IF(B1495="","",IF(ISERROR(MATCH($J1495,SorP!$B$1:$B$6226,0)),"",INDIRECT("'SorP'!$A$"&amp;MATCH($S1495&amp;$J1495,SorP!C:C,0))))</f>
        <v/>
      </c>
      <c r="U1495" s="168"/>
      <c r="V1495" s="169" t="e">
        <f>IF(C1495="",NA(),MATCH($B1495&amp;$C1495,'Smelter Look-up'!$J:$J,0))</f>
        <v>#N/A</v>
      </c>
      <c r="X1495" s="170">
        <f t="shared" ca="1" si="118"/>
        <v>0</v>
      </c>
      <c r="AB1495" s="313" t="str">
        <f t="shared" si="120"/>
        <v/>
      </c>
      <c r="AC1495" s="170" t="str">
        <f t="shared" si="121"/>
        <v/>
      </c>
      <c r="AD1495" s="170" t="str">
        <f t="shared" si="122"/>
        <v/>
      </c>
    </row>
    <row r="1496" spans="1:30" s="170" customFormat="1" ht="20.399999999999999">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119"/>
        <v/>
      </c>
      <c r="T1496" s="155" t="str">
        <f ca="1">IF(B1496="","",IF(ISERROR(MATCH($J1496,SorP!$B$1:$B$6226,0)),"",INDIRECT("'SorP'!$A$"&amp;MATCH($S1496&amp;$J1496,SorP!C:C,0))))</f>
        <v/>
      </c>
      <c r="U1496" s="168"/>
      <c r="V1496" s="169" t="e">
        <f>IF(C1496="",NA(),MATCH($B1496&amp;$C1496,'Smelter Look-up'!$J:$J,0))</f>
        <v>#N/A</v>
      </c>
      <c r="X1496" s="170">
        <f t="shared" ca="1" si="118"/>
        <v>0</v>
      </c>
      <c r="AB1496" s="313" t="str">
        <f t="shared" si="120"/>
        <v/>
      </c>
      <c r="AC1496" s="170" t="str">
        <f t="shared" si="121"/>
        <v/>
      </c>
      <c r="AD1496" s="170" t="str">
        <f t="shared" si="122"/>
        <v/>
      </c>
    </row>
    <row r="1497" spans="1:30" s="170" customFormat="1" ht="20.399999999999999">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119"/>
        <v/>
      </c>
      <c r="T1497" s="155" t="str">
        <f ca="1">IF(B1497="","",IF(ISERROR(MATCH($J1497,SorP!$B$1:$B$6226,0)),"",INDIRECT("'SorP'!$A$"&amp;MATCH($S1497&amp;$J1497,SorP!C:C,0))))</f>
        <v/>
      </c>
      <c r="U1497" s="168"/>
      <c r="V1497" s="169" t="e">
        <f>IF(C1497="",NA(),MATCH($B1497&amp;$C1497,'Smelter Look-up'!$J:$J,0))</f>
        <v>#N/A</v>
      </c>
      <c r="X1497" s="170">
        <f t="shared" ca="1" si="118"/>
        <v>0</v>
      </c>
      <c r="AB1497" s="313" t="str">
        <f t="shared" si="120"/>
        <v/>
      </c>
      <c r="AC1497" s="170" t="str">
        <f t="shared" si="121"/>
        <v/>
      </c>
      <c r="AD1497" s="170" t="str">
        <f t="shared" si="122"/>
        <v/>
      </c>
    </row>
    <row r="1498" spans="1:30" s="170" customFormat="1" ht="20.399999999999999">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119"/>
        <v/>
      </c>
      <c r="T1498" s="155" t="str">
        <f ca="1">IF(B1498="","",IF(ISERROR(MATCH($J1498,SorP!$B$1:$B$6226,0)),"",INDIRECT("'SorP'!$A$"&amp;MATCH($S1498&amp;$J1498,SorP!C:C,0))))</f>
        <v/>
      </c>
      <c r="U1498" s="168"/>
      <c r="V1498" s="169" t="e">
        <f>IF(C1498="",NA(),MATCH($B1498&amp;$C1498,'Smelter Look-up'!$J:$J,0))</f>
        <v>#N/A</v>
      </c>
      <c r="X1498" s="170">
        <f t="shared" ca="1" si="118"/>
        <v>0</v>
      </c>
      <c r="AB1498" s="313" t="str">
        <f t="shared" si="120"/>
        <v/>
      </c>
      <c r="AC1498" s="170" t="str">
        <f t="shared" si="121"/>
        <v/>
      </c>
      <c r="AD1498" s="170" t="str">
        <f t="shared" si="122"/>
        <v/>
      </c>
    </row>
    <row r="1499" spans="1:30" s="170" customFormat="1" ht="20.399999999999999">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119"/>
        <v/>
      </c>
      <c r="T1499" s="155" t="str">
        <f ca="1">IF(B1499="","",IF(ISERROR(MATCH($J1499,SorP!$B$1:$B$6226,0)),"",INDIRECT("'SorP'!$A$"&amp;MATCH($S1499&amp;$J1499,SorP!C:C,0))))</f>
        <v/>
      </c>
      <c r="U1499" s="168"/>
      <c r="V1499" s="169" t="e">
        <f>IF(C1499="",NA(),MATCH($B1499&amp;$C1499,'Smelter Look-up'!$J:$J,0))</f>
        <v>#N/A</v>
      </c>
      <c r="X1499" s="170">
        <f t="shared" ca="1" si="118"/>
        <v>0</v>
      </c>
      <c r="AB1499" s="313" t="str">
        <f t="shared" si="120"/>
        <v/>
      </c>
      <c r="AC1499" s="170" t="str">
        <f t="shared" si="121"/>
        <v/>
      </c>
      <c r="AD1499" s="170" t="str">
        <f t="shared" si="122"/>
        <v/>
      </c>
    </row>
    <row r="1500" spans="1:30" s="170" customFormat="1" ht="20.399999999999999">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119"/>
        <v/>
      </c>
      <c r="T1500" s="155" t="str">
        <f ca="1">IF(B1500="","",IF(ISERROR(MATCH($J1500,SorP!$B$1:$B$6226,0)),"",INDIRECT("'SorP'!$A$"&amp;MATCH($S1500&amp;$J1500,SorP!C:C,0))))</f>
        <v/>
      </c>
      <c r="U1500" s="168"/>
      <c r="V1500" s="169" t="e">
        <f>IF(C1500="",NA(),MATCH($B1500&amp;$C1500,'Smelter Look-up'!$J:$J,0))</f>
        <v>#N/A</v>
      </c>
      <c r="X1500" s="170">
        <f t="shared" ca="1" si="118"/>
        <v>0</v>
      </c>
      <c r="AB1500" s="313" t="str">
        <f t="shared" si="120"/>
        <v/>
      </c>
      <c r="AC1500" s="170" t="str">
        <f t="shared" si="121"/>
        <v/>
      </c>
      <c r="AD1500" s="170" t="str">
        <f t="shared" si="122"/>
        <v/>
      </c>
    </row>
    <row r="1501" spans="1:30" s="170" customFormat="1" ht="20.399999999999999">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119"/>
        <v/>
      </c>
      <c r="T1501" s="155" t="str">
        <f ca="1">IF(B1501="","",IF(ISERROR(MATCH($J1501,SorP!$B$1:$B$6226,0)),"",INDIRECT("'SorP'!$A$"&amp;MATCH($S1501&amp;$J1501,SorP!C:C,0))))</f>
        <v/>
      </c>
      <c r="U1501" s="168"/>
      <c r="V1501" s="169" t="e">
        <f>IF(C1501="",NA(),MATCH($B1501&amp;$C1501,'Smelter Look-up'!$J:$J,0))</f>
        <v>#N/A</v>
      </c>
      <c r="X1501" s="170">
        <f t="shared" ca="1" si="118"/>
        <v>0</v>
      </c>
      <c r="AB1501" s="313" t="str">
        <f t="shared" si="120"/>
        <v/>
      </c>
      <c r="AC1501" s="170" t="str">
        <f t="shared" si="121"/>
        <v/>
      </c>
      <c r="AD1501" s="170" t="str">
        <f t="shared" si="122"/>
        <v/>
      </c>
    </row>
    <row r="1502" spans="1:30" s="170" customFormat="1" ht="20.399999999999999">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119"/>
        <v/>
      </c>
      <c r="T1502" s="155" t="str">
        <f ca="1">IF(B1502="","",IF(ISERROR(MATCH($J1502,SorP!$B$1:$B$6226,0)),"",INDIRECT("'SorP'!$A$"&amp;MATCH($S1502&amp;$J1502,SorP!C:C,0))))</f>
        <v/>
      </c>
      <c r="U1502" s="168"/>
      <c r="V1502" s="169" t="e">
        <f>IF(C1502="",NA(),MATCH($B1502&amp;$C1502,'Smelter Look-up'!$J:$J,0))</f>
        <v>#N/A</v>
      </c>
      <c r="X1502" s="170">
        <f t="shared" ca="1" si="118"/>
        <v>0</v>
      </c>
      <c r="AB1502" s="313" t="str">
        <f t="shared" si="120"/>
        <v/>
      </c>
      <c r="AC1502" s="170" t="str">
        <f t="shared" si="121"/>
        <v/>
      </c>
      <c r="AD1502" s="170" t="str">
        <f t="shared" si="122"/>
        <v/>
      </c>
    </row>
    <row r="1503" spans="1:30" s="170" customFormat="1" ht="20.399999999999999">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119"/>
        <v/>
      </c>
      <c r="T1503" s="155" t="str">
        <f ca="1">IF(B1503="","",IF(ISERROR(MATCH($J1503,SorP!$B$1:$B$6226,0)),"",INDIRECT("'SorP'!$A$"&amp;MATCH($S1503&amp;$J1503,SorP!C:C,0))))</f>
        <v/>
      </c>
      <c r="U1503" s="168"/>
      <c r="V1503" s="169" t="e">
        <f>IF(C1503="",NA(),MATCH($B1503&amp;$C1503,'Smelter Look-up'!$J:$J,0))</f>
        <v>#N/A</v>
      </c>
      <c r="X1503" s="170">
        <f t="shared" ca="1" si="118"/>
        <v>0</v>
      </c>
      <c r="AB1503" s="313" t="str">
        <f t="shared" si="120"/>
        <v/>
      </c>
      <c r="AC1503" s="170" t="str">
        <f t="shared" si="121"/>
        <v/>
      </c>
      <c r="AD1503" s="170" t="str">
        <f t="shared" si="122"/>
        <v/>
      </c>
    </row>
    <row r="1504" spans="1:30" s="170" customFormat="1" ht="20.399999999999999">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119"/>
        <v/>
      </c>
      <c r="T1504" s="155" t="str">
        <f ca="1">IF(B1504="","",IF(ISERROR(MATCH($J1504,SorP!$B$1:$B$6226,0)),"",INDIRECT("'SorP'!$A$"&amp;MATCH($S1504&amp;$J1504,SorP!C:C,0))))</f>
        <v/>
      </c>
      <c r="U1504" s="168"/>
      <c r="V1504" s="169" t="e">
        <f>IF(C1504="",NA(),MATCH($B1504&amp;$C1504,'Smelter Look-up'!$J:$J,0))</f>
        <v>#N/A</v>
      </c>
      <c r="X1504" s="170">
        <f t="shared" ca="1" si="118"/>
        <v>0</v>
      </c>
      <c r="AB1504" s="313" t="str">
        <f t="shared" si="120"/>
        <v/>
      </c>
      <c r="AC1504" s="170" t="str">
        <f t="shared" si="121"/>
        <v/>
      </c>
      <c r="AD1504" s="170" t="str">
        <f t="shared" si="122"/>
        <v/>
      </c>
    </row>
    <row r="1505" spans="1:30" s="170" customFormat="1" ht="20.399999999999999">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119"/>
        <v/>
      </c>
      <c r="T1505" s="155" t="str">
        <f ca="1">IF(B1505="","",IF(ISERROR(MATCH($J1505,SorP!$B$1:$B$6226,0)),"",INDIRECT("'SorP'!$A$"&amp;MATCH($S1505&amp;$J1505,SorP!C:C,0))))</f>
        <v/>
      </c>
      <c r="U1505" s="168"/>
      <c r="V1505" s="169" t="e">
        <f>IF(C1505="",NA(),MATCH($B1505&amp;$C1505,'Smelter Look-up'!$J:$J,0))</f>
        <v>#N/A</v>
      </c>
      <c r="X1505" s="170">
        <f t="shared" ca="1" si="118"/>
        <v>0</v>
      </c>
      <c r="AB1505" s="313" t="str">
        <f t="shared" si="120"/>
        <v/>
      </c>
      <c r="AC1505" s="170" t="str">
        <f t="shared" si="121"/>
        <v/>
      </c>
      <c r="AD1505" s="170" t="str">
        <f t="shared" si="122"/>
        <v/>
      </c>
    </row>
    <row r="1506" spans="1:30" s="170" customFormat="1" ht="20.399999999999999">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119"/>
        <v/>
      </c>
      <c r="T1506" s="155" t="str">
        <f ca="1">IF(B1506="","",IF(ISERROR(MATCH($J1506,SorP!$B$1:$B$6226,0)),"",INDIRECT("'SorP'!$A$"&amp;MATCH($S1506&amp;$J1506,SorP!C:C,0))))</f>
        <v/>
      </c>
      <c r="U1506" s="168"/>
      <c r="V1506" s="169" t="e">
        <f>IF(C1506="",NA(),MATCH($B1506&amp;$C1506,'Smelter Look-up'!$J:$J,0))</f>
        <v>#N/A</v>
      </c>
      <c r="X1506" s="170">
        <f t="shared" ca="1" si="118"/>
        <v>0</v>
      </c>
      <c r="AB1506" s="313" t="str">
        <f t="shared" si="120"/>
        <v/>
      </c>
      <c r="AC1506" s="170" t="str">
        <f t="shared" si="121"/>
        <v/>
      </c>
      <c r="AD1506" s="170" t="str">
        <f t="shared" si="122"/>
        <v/>
      </c>
    </row>
    <row r="1507" spans="1:30" s="170" customFormat="1" ht="20.399999999999999">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119"/>
        <v/>
      </c>
      <c r="T1507" s="155" t="str">
        <f ca="1">IF(B1507="","",IF(ISERROR(MATCH($J1507,SorP!$B$1:$B$6226,0)),"",INDIRECT("'SorP'!$A$"&amp;MATCH($S1507&amp;$J1507,SorP!C:C,0))))</f>
        <v/>
      </c>
      <c r="U1507" s="168"/>
      <c r="V1507" s="169" t="e">
        <f>IF(C1507="",NA(),MATCH($B1507&amp;$C1507,'Smelter Look-up'!$J:$J,0))</f>
        <v>#N/A</v>
      </c>
      <c r="X1507" s="170">
        <f t="shared" ca="1" si="118"/>
        <v>0</v>
      </c>
      <c r="AB1507" s="313" t="str">
        <f t="shared" si="120"/>
        <v/>
      </c>
      <c r="AC1507" s="170" t="str">
        <f t="shared" si="121"/>
        <v/>
      </c>
      <c r="AD1507" s="170" t="str">
        <f t="shared" si="122"/>
        <v/>
      </c>
    </row>
    <row r="1508" spans="1:30" s="170" customFormat="1" ht="20.399999999999999">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119"/>
        <v/>
      </c>
      <c r="T1508" s="155" t="str">
        <f ca="1">IF(B1508="","",IF(ISERROR(MATCH($J1508,SorP!$B$1:$B$6226,0)),"",INDIRECT("'SorP'!$A$"&amp;MATCH($S1508&amp;$J1508,SorP!C:C,0))))</f>
        <v/>
      </c>
      <c r="U1508" s="168"/>
      <c r="V1508" s="169" t="e">
        <f>IF(C1508="",NA(),MATCH($B1508&amp;$C1508,'Smelter Look-up'!$J:$J,0))</f>
        <v>#N/A</v>
      </c>
      <c r="X1508" s="170">
        <f t="shared" ca="1" si="118"/>
        <v>0</v>
      </c>
      <c r="AB1508" s="313" t="str">
        <f t="shared" si="120"/>
        <v/>
      </c>
      <c r="AC1508" s="170" t="str">
        <f t="shared" si="121"/>
        <v/>
      </c>
      <c r="AD1508" s="170" t="str">
        <f t="shared" si="122"/>
        <v/>
      </c>
    </row>
    <row r="1509" spans="1:30" s="170" customFormat="1" ht="20.399999999999999">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119"/>
        <v/>
      </c>
      <c r="T1509" s="155" t="str">
        <f ca="1">IF(B1509="","",IF(ISERROR(MATCH($J1509,SorP!$B$1:$B$6226,0)),"",INDIRECT("'SorP'!$A$"&amp;MATCH($S1509&amp;$J1509,SorP!C:C,0))))</f>
        <v/>
      </c>
      <c r="U1509" s="168"/>
      <c r="V1509" s="169" t="e">
        <f>IF(C1509="",NA(),MATCH($B1509&amp;$C1509,'Smelter Look-up'!$J:$J,0))</f>
        <v>#N/A</v>
      </c>
      <c r="X1509" s="170">
        <f t="shared" ca="1" si="118"/>
        <v>0</v>
      </c>
      <c r="AB1509" s="313" t="str">
        <f t="shared" si="120"/>
        <v/>
      </c>
      <c r="AC1509" s="170" t="str">
        <f t="shared" si="121"/>
        <v/>
      </c>
      <c r="AD1509" s="170" t="str">
        <f t="shared" si="122"/>
        <v/>
      </c>
    </row>
    <row r="1510" spans="1:30" s="170" customFormat="1" ht="20.399999999999999">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119"/>
        <v/>
      </c>
      <c r="T1510" s="155" t="str">
        <f ca="1">IF(B1510="","",IF(ISERROR(MATCH($J1510,SorP!$B$1:$B$6226,0)),"",INDIRECT("'SorP'!$A$"&amp;MATCH($S1510&amp;$J1510,SorP!C:C,0))))</f>
        <v/>
      </c>
      <c r="U1510" s="168"/>
      <c r="V1510" s="169" t="e">
        <f>IF(C1510="",NA(),MATCH($B1510&amp;$C1510,'Smelter Look-up'!$J:$J,0))</f>
        <v>#N/A</v>
      </c>
      <c r="X1510" s="170">
        <f t="shared" ca="1" si="118"/>
        <v>0</v>
      </c>
      <c r="AB1510" s="313" t="str">
        <f t="shared" si="120"/>
        <v/>
      </c>
      <c r="AC1510" s="170" t="str">
        <f t="shared" si="121"/>
        <v/>
      </c>
      <c r="AD1510" s="170" t="str">
        <f t="shared" si="122"/>
        <v/>
      </c>
    </row>
    <row r="1511" spans="1:30" s="170" customFormat="1" ht="20.399999999999999">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119"/>
        <v/>
      </c>
      <c r="T1511" s="155" t="str">
        <f ca="1">IF(B1511="","",IF(ISERROR(MATCH($J1511,SorP!$B$1:$B$6226,0)),"",INDIRECT("'SorP'!$A$"&amp;MATCH($S1511&amp;$J1511,SorP!C:C,0))))</f>
        <v/>
      </c>
      <c r="U1511" s="168"/>
      <c r="V1511" s="169" t="e">
        <f>IF(C1511="",NA(),MATCH($B1511&amp;$C1511,'Smelter Look-up'!$J:$J,0))</f>
        <v>#N/A</v>
      </c>
      <c r="X1511" s="170">
        <f t="shared" ca="1" si="118"/>
        <v>0</v>
      </c>
      <c r="AB1511" s="313" t="str">
        <f t="shared" si="120"/>
        <v/>
      </c>
      <c r="AC1511" s="170" t="str">
        <f t="shared" si="121"/>
        <v/>
      </c>
      <c r="AD1511" s="170" t="str">
        <f t="shared" si="122"/>
        <v/>
      </c>
    </row>
    <row r="1512" spans="1:30" s="170" customFormat="1" ht="20.399999999999999">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119"/>
        <v/>
      </c>
      <c r="T1512" s="155" t="str">
        <f ca="1">IF(B1512="","",IF(ISERROR(MATCH($J1512,SorP!$B$1:$B$6226,0)),"",INDIRECT("'SorP'!$A$"&amp;MATCH($S1512&amp;$J1512,SorP!C:C,0))))</f>
        <v/>
      </c>
      <c r="U1512" s="168"/>
      <c r="V1512" s="169" t="e">
        <f>IF(C1512="",NA(),MATCH($B1512&amp;$C1512,'Smelter Look-up'!$J:$J,0))</f>
        <v>#N/A</v>
      </c>
      <c r="X1512" s="170">
        <f t="shared" ca="1" si="118"/>
        <v>0</v>
      </c>
      <c r="AB1512" s="313" t="str">
        <f t="shared" si="120"/>
        <v/>
      </c>
      <c r="AC1512" s="170" t="str">
        <f t="shared" si="121"/>
        <v/>
      </c>
      <c r="AD1512" s="170" t="str">
        <f t="shared" si="122"/>
        <v/>
      </c>
    </row>
    <row r="1513" spans="1:30" s="170" customFormat="1" ht="20.399999999999999">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119"/>
        <v/>
      </c>
      <c r="T1513" s="155" t="str">
        <f ca="1">IF(B1513="","",IF(ISERROR(MATCH($J1513,SorP!$B$1:$B$6226,0)),"",INDIRECT("'SorP'!$A$"&amp;MATCH($S1513&amp;$J1513,SorP!C:C,0))))</f>
        <v/>
      </c>
      <c r="U1513" s="168"/>
      <c r="V1513" s="169" t="e">
        <f>IF(C1513="",NA(),MATCH($B1513&amp;$C1513,'Smelter Look-up'!$J:$J,0))</f>
        <v>#N/A</v>
      </c>
      <c r="X1513" s="170">
        <f t="shared" ca="1" si="118"/>
        <v>0</v>
      </c>
      <c r="AB1513" s="313" t="str">
        <f t="shared" si="120"/>
        <v/>
      </c>
      <c r="AC1513" s="170" t="str">
        <f t="shared" si="121"/>
        <v/>
      </c>
      <c r="AD1513" s="170" t="str">
        <f t="shared" si="122"/>
        <v/>
      </c>
    </row>
    <row r="1514" spans="1:30" s="170" customFormat="1" ht="20.399999999999999">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119"/>
        <v/>
      </c>
      <c r="T1514" s="155" t="str">
        <f ca="1">IF(B1514="","",IF(ISERROR(MATCH($J1514,SorP!$B$1:$B$6226,0)),"",INDIRECT("'SorP'!$A$"&amp;MATCH($S1514&amp;$J1514,SorP!C:C,0))))</f>
        <v/>
      </c>
      <c r="U1514" s="168"/>
      <c r="V1514" s="169" t="e">
        <f>IF(C1514="",NA(),MATCH($B1514&amp;$C1514,'Smelter Look-up'!$J:$J,0))</f>
        <v>#N/A</v>
      </c>
      <c r="X1514" s="170">
        <f t="shared" ca="1" si="118"/>
        <v>0</v>
      </c>
      <c r="AB1514" s="313" t="str">
        <f t="shared" si="120"/>
        <v/>
      </c>
      <c r="AC1514" s="170" t="str">
        <f t="shared" si="121"/>
        <v/>
      </c>
      <c r="AD1514" s="170" t="str">
        <f t="shared" si="122"/>
        <v/>
      </c>
    </row>
    <row r="1515" spans="1:30" s="170" customFormat="1" ht="20.399999999999999">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119"/>
        <v/>
      </c>
      <c r="T1515" s="155" t="str">
        <f ca="1">IF(B1515="","",IF(ISERROR(MATCH($J1515,SorP!$B$1:$B$6226,0)),"",INDIRECT("'SorP'!$A$"&amp;MATCH($S1515&amp;$J1515,SorP!C:C,0))))</f>
        <v/>
      </c>
      <c r="U1515" s="168"/>
      <c r="V1515" s="169" t="e">
        <f>IF(C1515="",NA(),MATCH($B1515&amp;$C1515,'Smelter Look-up'!$J:$J,0))</f>
        <v>#N/A</v>
      </c>
      <c r="X1515" s="170">
        <f t="shared" ca="1" si="118"/>
        <v>0</v>
      </c>
      <c r="AB1515" s="313" t="str">
        <f t="shared" si="120"/>
        <v/>
      </c>
      <c r="AC1515" s="170" t="str">
        <f t="shared" si="121"/>
        <v/>
      </c>
      <c r="AD1515" s="170" t="str">
        <f t="shared" si="122"/>
        <v/>
      </c>
    </row>
    <row r="1516" spans="1:30" s="170" customFormat="1" ht="20.399999999999999">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119"/>
        <v/>
      </c>
      <c r="T1516" s="155" t="str">
        <f ca="1">IF(B1516="","",IF(ISERROR(MATCH($J1516,SorP!$B$1:$B$6226,0)),"",INDIRECT("'SorP'!$A$"&amp;MATCH($S1516&amp;$J1516,SorP!C:C,0))))</f>
        <v/>
      </c>
      <c r="U1516" s="168"/>
      <c r="V1516" s="169" t="e">
        <f>IF(C1516="",NA(),MATCH($B1516&amp;$C1516,'Smelter Look-up'!$J:$J,0))</f>
        <v>#N/A</v>
      </c>
      <c r="X1516" s="170">
        <f t="shared" ca="1" si="118"/>
        <v>0</v>
      </c>
      <c r="AB1516" s="313" t="str">
        <f t="shared" si="120"/>
        <v/>
      </c>
      <c r="AC1516" s="170" t="str">
        <f t="shared" si="121"/>
        <v/>
      </c>
      <c r="AD1516" s="170" t="str">
        <f t="shared" si="122"/>
        <v/>
      </c>
    </row>
    <row r="1517" spans="1:30" s="170" customFormat="1" ht="20.399999999999999">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119"/>
        <v/>
      </c>
      <c r="T1517" s="155" t="str">
        <f ca="1">IF(B1517="","",IF(ISERROR(MATCH($J1517,SorP!$B$1:$B$6226,0)),"",INDIRECT("'SorP'!$A$"&amp;MATCH($S1517&amp;$J1517,SorP!C:C,0))))</f>
        <v/>
      </c>
      <c r="U1517" s="168"/>
      <c r="V1517" s="169" t="e">
        <f>IF(C1517="",NA(),MATCH($B1517&amp;$C1517,'Smelter Look-up'!$J:$J,0))</f>
        <v>#N/A</v>
      </c>
      <c r="X1517" s="170">
        <f t="shared" ca="1" si="118"/>
        <v>0</v>
      </c>
      <c r="AB1517" s="313" t="str">
        <f t="shared" si="120"/>
        <v/>
      </c>
      <c r="AC1517" s="170" t="str">
        <f t="shared" si="121"/>
        <v/>
      </c>
      <c r="AD1517" s="170" t="str">
        <f t="shared" si="122"/>
        <v/>
      </c>
    </row>
    <row r="1518" spans="1:30" s="170" customFormat="1" ht="20.399999999999999">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119"/>
        <v/>
      </c>
      <c r="T1518" s="155" t="str">
        <f ca="1">IF(B1518="","",IF(ISERROR(MATCH($J1518,SorP!$B$1:$B$6226,0)),"",INDIRECT("'SorP'!$A$"&amp;MATCH($S1518&amp;$J1518,SorP!C:C,0))))</f>
        <v/>
      </c>
      <c r="U1518" s="168"/>
      <c r="V1518" s="169" t="e">
        <f>IF(C1518="",NA(),MATCH($B1518&amp;$C1518,'Smelter Look-up'!$J:$J,0))</f>
        <v>#N/A</v>
      </c>
      <c r="X1518" s="170">
        <f t="shared" ca="1" si="118"/>
        <v>0</v>
      </c>
      <c r="AB1518" s="313" t="str">
        <f t="shared" si="120"/>
        <v/>
      </c>
      <c r="AC1518" s="170" t="str">
        <f t="shared" si="121"/>
        <v/>
      </c>
      <c r="AD1518" s="170" t="str">
        <f t="shared" si="122"/>
        <v/>
      </c>
    </row>
    <row r="1519" spans="1:30" s="170" customFormat="1" ht="20.399999999999999">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119"/>
        <v/>
      </c>
      <c r="T1519" s="155" t="str">
        <f ca="1">IF(B1519="","",IF(ISERROR(MATCH($J1519,SorP!$B$1:$B$6226,0)),"",INDIRECT("'SorP'!$A$"&amp;MATCH($S1519&amp;$J1519,SorP!C:C,0))))</f>
        <v/>
      </c>
      <c r="U1519" s="168"/>
      <c r="V1519" s="169" t="e">
        <f>IF(C1519="",NA(),MATCH($B1519&amp;$C1519,'Smelter Look-up'!$J:$J,0))</f>
        <v>#N/A</v>
      </c>
      <c r="X1519" s="170">
        <f t="shared" ca="1" si="118"/>
        <v>0</v>
      </c>
      <c r="AB1519" s="313" t="str">
        <f t="shared" si="120"/>
        <v/>
      </c>
      <c r="AC1519" s="170" t="str">
        <f t="shared" si="121"/>
        <v/>
      </c>
      <c r="AD1519" s="170" t="str">
        <f t="shared" si="122"/>
        <v/>
      </c>
    </row>
    <row r="1520" spans="1:30" s="170" customFormat="1" ht="20.399999999999999">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119"/>
        <v/>
      </c>
      <c r="T1520" s="155" t="str">
        <f ca="1">IF(B1520="","",IF(ISERROR(MATCH($J1520,SorP!$B$1:$B$6226,0)),"",INDIRECT("'SorP'!$A$"&amp;MATCH($S1520&amp;$J1520,SorP!C:C,0))))</f>
        <v/>
      </c>
      <c r="U1520" s="168"/>
      <c r="V1520" s="169" t="e">
        <f>IF(C1520="",NA(),MATCH($B1520&amp;$C1520,'Smelter Look-up'!$J:$J,0))</f>
        <v>#N/A</v>
      </c>
      <c r="X1520" s="170">
        <f t="shared" ca="1" si="118"/>
        <v>0</v>
      </c>
      <c r="AB1520" s="313" t="str">
        <f t="shared" si="120"/>
        <v/>
      </c>
      <c r="AC1520" s="170" t="str">
        <f t="shared" si="121"/>
        <v/>
      </c>
      <c r="AD1520" s="170" t="str">
        <f t="shared" si="122"/>
        <v/>
      </c>
    </row>
    <row r="1521" spans="1:30" s="170" customFormat="1" ht="20.399999999999999">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119"/>
        <v/>
      </c>
      <c r="T1521" s="155" t="str">
        <f ca="1">IF(B1521="","",IF(ISERROR(MATCH($J1521,SorP!$B$1:$B$6226,0)),"",INDIRECT("'SorP'!$A$"&amp;MATCH($S1521&amp;$J1521,SorP!C:C,0))))</f>
        <v/>
      </c>
      <c r="U1521" s="168"/>
      <c r="V1521" s="169" t="e">
        <f>IF(C1521="",NA(),MATCH($B1521&amp;$C1521,'Smelter Look-up'!$J:$J,0))</f>
        <v>#N/A</v>
      </c>
      <c r="X1521" s="170">
        <f t="shared" ca="1" si="118"/>
        <v>0</v>
      </c>
      <c r="AB1521" s="313" t="str">
        <f t="shared" si="120"/>
        <v/>
      </c>
      <c r="AC1521" s="170" t="str">
        <f t="shared" si="121"/>
        <v/>
      </c>
      <c r="AD1521" s="170" t="str">
        <f t="shared" si="122"/>
        <v/>
      </c>
    </row>
    <row r="1522" spans="1:30" s="170" customFormat="1" ht="20.399999999999999">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119"/>
        <v/>
      </c>
      <c r="T1522" s="155" t="str">
        <f ca="1">IF(B1522="","",IF(ISERROR(MATCH($J1522,SorP!$B$1:$B$6226,0)),"",INDIRECT("'SorP'!$A$"&amp;MATCH($S1522&amp;$J1522,SorP!C:C,0))))</f>
        <v/>
      </c>
      <c r="U1522" s="168"/>
      <c r="V1522" s="169" t="e">
        <f>IF(C1522="",NA(),MATCH($B1522&amp;$C1522,'Smelter Look-up'!$J:$J,0))</f>
        <v>#N/A</v>
      </c>
      <c r="X1522" s="170">
        <f t="shared" ca="1" si="118"/>
        <v>0</v>
      </c>
      <c r="AB1522" s="313" t="str">
        <f t="shared" si="120"/>
        <v/>
      </c>
      <c r="AC1522" s="170" t="str">
        <f t="shared" si="121"/>
        <v/>
      </c>
      <c r="AD1522" s="170" t="str">
        <f t="shared" si="122"/>
        <v/>
      </c>
    </row>
    <row r="1523" spans="1:30" s="170" customFormat="1" ht="20.399999999999999">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119"/>
        <v/>
      </c>
      <c r="T1523" s="155" t="str">
        <f ca="1">IF(B1523="","",IF(ISERROR(MATCH($J1523,SorP!$B$1:$B$6226,0)),"",INDIRECT("'SorP'!$A$"&amp;MATCH($S1523&amp;$J1523,SorP!C:C,0))))</f>
        <v/>
      </c>
      <c r="U1523" s="168"/>
      <c r="V1523" s="169" t="e">
        <f>IF(C1523="",NA(),MATCH($B1523&amp;$C1523,'Smelter Look-up'!$J:$J,0))</f>
        <v>#N/A</v>
      </c>
      <c r="X1523" s="170">
        <f t="shared" ca="1" si="118"/>
        <v>0</v>
      </c>
      <c r="AB1523" s="313" t="str">
        <f t="shared" si="120"/>
        <v/>
      </c>
      <c r="AC1523" s="170" t="str">
        <f t="shared" si="121"/>
        <v/>
      </c>
      <c r="AD1523" s="170" t="str">
        <f t="shared" si="122"/>
        <v/>
      </c>
    </row>
    <row r="1524" spans="1:30" s="170" customFormat="1" ht="20.399999999999999">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119"/>
        <v/>
      </c>
      <c r="T1524" s="155" t="str">
        <f ca="1">IF(B1524="","",IF(ISERROR(MATCH($J1524,SorP!$B$1:$B$6226,0)),"",INDIRECT("'SorP'!$A$"&amp;MATCH($S1524&amp;$J1524,SorP!C:C,0))))</f>
        <v/>
      </c>
      <c r="U1524" s="168"/>
      <c r="V1524" s="169" t="e">
        <f>IF(C1524="",NA(),MATCH($B1524&amp;$C1524,'Smelter Look-up'!$J:$J,0))</f>
        <v>#N/A</v>
      </c>
      <c r="X1524" s="170">
        <f t="shared" ca="1" si="118"/>
        <v>0</v>
      </c>
      <c r="AB1524" s="313" t="str">
        <f t="shared" si="120"/>
        <v/>
      </c>
      <c r="AC1524" s="170" t="str">
        <f t="shared" si="121"/>
        <v/>
      </c>
      <c r="AD1524" s="170" t="str">
        <f t="shared" si="122"/>
        <v/>
      </c>
    </row>
    <row r="1525" spans="1:30" s="170" customFormat="1" ht="20.399999999999999">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119"/>
        <v/>
      </c>
      <c r="T1525" s="155" t="str">
        <f ca="1">IF(B1525="","",IF(ISERROR(MATCH($J1525,SorP!$B$1:$B$6226,0)),"",INDIRECT("'SorP'!$A$"&amp;MATCH($S1525&amp;$J1525,SorP!C:C,0))))</f>
        <v/>
      </c>
      <c r="U1525" s="168"/>
      <c r="V1525" s="169" t="e">
        <f>IF(C1525="",NA(),MATCH($B1525&amp;$C1525,'Smelter Look-up'!$J:$J,0))</f>
        <v>#N/A</v>
      </c>
      <c r="X1525" s="170">
        <f t="shared" ca="1" si="118"/>
        <v>0</v>
      </c>
      <c r="AB1525" s="313" t="str">
        <f t="shared" si="120"/>
        <v/>
      </c>
      <c r="AC1525" s="170" t="str">
        <f t="shared" si="121"/>
        <v/>
      </c>
      <c r="AD1525" s="170" t="str">
        <f t="shared" si="122"/>
        <v/>
      </c>
    </row>
    <row r="1526" spans="1:30" s="170" customFormat="1" ht="20.399999999999999">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119"/>
        <v/>
      </c>
      <c r="T1526" s="155" t="str">
        <f ca="1">IF(B1526="","",IF(ISERROR(MATCH($J1526,SorP!$B$1:$B$6226,0)),"",INDIRECT("'SorP'!$A$"&amp;MATCH($S1526&amp;$J1526,SorP!C:C,0))))</f>
        <v/>
      </c>
      <c r="U1526" s="168"/>
      <c r="V1526" s="169" t="e">
        <f>IF(C1526="",NA(),MATCH($B1526&amp;$C1526,'Smelter Look-up'!$J:$J,0))</f>
        <v>#N/A</v>
      </c>
      <c r="X1526" s="170">
        <f t="shared" ca="1" si="118"/>
        <v>0</v>
      </c>
      <c r="AB1526" s="313" t="str">
        <f t="shared" si="120"/>
        <v/>
      </c>
      <c r="AC1526" s="170" t="str">
        <f t="shared" si="121"/>
        <v/>
      </c>
      <c r="AD1526" s="170" t="str">
        <f t="shared" si="122"/>
        <v/>
      </c>
    </row>
    <row r="1527" spans="1:30" s="170" customFormat="1" ht="20.399999999999999">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119"/>
        <v/>
      </c>
      <c r="T1527" s="155" t="str">
        <f ca="1">IF(B1527="","",IF(ISERROR(MATCH($J1527,SorP!$B$1:$B$6226,0)),"",INDIRECT("'SorP'!$A$"&amp;MATCH($S1527&amp;$J1527,SorP!C:C,0))))</f>
        <v/>
      </c>
      <c r="U1527" s="168"/>
      <c r="V1527" s="169" t="e">
        <f>IF(C1527="",NA(),MATCH($B1527&amp;$C1527,'Smelter Look-up'!$J:$J,0))</f>
        <v>#N/A</v>
      </c>
      <c r="X1527" s="170">
        <f t="shared" ca="1" si="118"/>
        <v>0</v>
      </c>
      <c r="AB1527" s="313" t="str">
        <f t="shared" si="120"/>
        <v/>
      </c>
      <c r="AC1527" s="170" t="str">
        <f t="shared" si="121"/>
        <v/>
      </c>
      <c r="AD1527" s="170" t="str">
        <f t="shared" si="122"/>
        <v/>
      </c>
    </row>
    <row r="1528" spans="1:30" s="170" customFormat="1" ht="20.399999999999999">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119"/>
        <v/>
      </c>
      <c r="T1528" s="155" t="str">
        <f ca="1">IF(B1528="","",IF(ISERROR(MATCH($J1528,SorP!$B$1:$B$6226,0)),"",INDIRECT("'SorP'!$A$"&amp;MATCH($S1528&amp;$J1528,SorP!C:C,0))))</f>
        <v/>
      </c>
      <c r="U1528" s="168"/>
      <c r="V1528" s="169" t="e">
        <f>IF(C1528="",NA(),MATCH($B1528&amp;$C1528,'Smelter Look-up'!$J:$J,0))</f>
        <v>#N/A</v>
      </c>
      <c r="X1528" s="170">
        <f t="shared" ca="1" si="118"/>
        <v>0</v>
      </c>
      <c r="AB1528" s="313" t="str">
        <f t="shared" si="120"/>
        <v/>
      </c>
      <c r="AC1528" s="170" t="str">
        <f t="shared" si="121"/>
        <v/>
      </c>
      <c r="AD1528" s="170" t="str">
        <f t="shared" si="122"/>
        <v/>
      </c>
    </row>
    <row r="1529" spans="1:30" s="170" customFormat="1" ht="20.399999999999999">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119"/>
        <v/>
      </c>
      <c r="T1529" s="155" t="str">
        <f ca="1">IF(B1529="","",IF(ISERROR(MATCH($J1529,SorP!$B$1:$B$6226,0)),"",INDIRECT("'SorP'!$A$"&amp;MATCH($S1529&amp;$J1529,SorP!C:C,0))))</f>
        <v/>
      </c>
      <c r="U1529" s="168"/>
      <c r="V1529" s="169" t="e">
        <f>IF(C1529="",NA(),MATCH($B1529&amp;$C1529,'Smelter Look-up'!$J:$J,0))</f>
        <v>#N/A</v>
      </c>
      <c r="X1529" s="170">
        <f t="shared" ca="1" si="118"/>
        <v>0</v>
      </c>
      <c r="AB1529" s="313" t="str">
        <f t="shared" si="120"/>
        <v/>
      </c>
      <c r="AC1529" s="170" t="str">
        <f t="shared" si="121"/>
        <v/>
      </c>
      <c r="AD1529" s="170" t="str">
        <f t="shared" si="122"/>
        <v/>
      </c>
    </row>
    <row r="1530" spans="1:30" s="170" customFormat="1" ht="20.399999999999999">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119"/>
        <v/>
      </c>
      <c r="T1530" s="155" t="str">
        <f ca="1">IF(B1530="","",IF(ISERROR(MATCH($J1530,SorP!$B$1:$B$6226,0)),"",INDIRECT("'SorP'!$A$"&amp;MATCH($S1530&amp;$J1530,SorP!C:C,0))))</f>
        <v/>
      </c>
      <c r="U1530" s="168"/>
      <c r="V1530" s="169" t="e">
        <f>IF(C1530="",NA(),MATCH($B1530&amp;$C1530,'Smelter Look-up'!$J:$J,0))</f>
        <v>#N/A</v>
      </c>
      <c r="X1530" s="170">
        <f t="shared" ca="1" si="118"/>
        <v>0</v>
      </c>
      <c r="AB1530" s="313" t="str">
        <f t="shared" si="120"/>
        <v/>
      </c>
      <c r="AC1530" s="170" t="str">
        <f t="shared" si="121"/>
        <v/>
      </c>
      <c r="AD1530" s="170" t="str">
        <f t="shared" si="122"/>
        <v/>
      </c>
    </row>
    <row r="1531" spans="1:30" s="170" customFormat="1" ht="20.399999999999999">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119"/>
        <v/>
      </c>
      <c r="T1531" s="155" t="str">
        <f ca="1">IF(B1531="","",IF(ISERROR(MATCH($J1531,SorP!$B$1:$B$6226,0)),"",INDIRECT("'SorP'!$A$"&amp;MATCH($S1531&amp;$J1531,SorP!C:C,0))))</f>
        <v/>
      </c>
      <c r="U1531" s="168"/>
      <c r="V1531" s="169" t="e">
        <f>IF(C1531="",NA(),MATCH($B1531&amp;$C1531,'Smelter Look-up'!$J:$J,0))</f>
        <v>#N/A</v>
      </c>
      <c r="X1531" s="170">
        <f t="shared" ca="1" si="118"/>
        <v>0</v>
      </c>
      <c r="AB1531" s="313" t="str">
        <f t="shared" si="120"/>
        <v/>
      </c>
      <c r="AC1531" s="170" t="str">
        <f t="shared" si="121"/>
        <v/>
      </c>
      <c r="AD1531" s="170" t="str">
        <f t="shared" si="122"/>
        <v/>
      </c>
    </row>
    <row r="1532" spans="1:30" s="170" customFormat="1" ht="20.399999999999999">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119"/>
        <v/>
      </c>
      <c r="T1532" s="155" t="str">
        <f ca="1">IF(B1532="","",IF(ISERROR(MATCH($J1532,SorP!$B$1:$B$6226,0)),"",INDIRECT("'SorP'!$A$"&amp;MATCH($S1532&amp;$J1532,SorP!C:C,0))))</f>
        <v/>
      </c>
      <c r="U1532" s="168"/>
      <c r="V1532" s="169" t="e">
        <f>IF(C1532="",NA(),MATCH($B1532&amp;$C1532,'Smelter Look-up'!$J:$J,0))</f>
        <v>#N/A</v>
      </c>
      <c r="X1532" s="170">
        <f t="shared" ca="1" si="118"/>
        <v>0</v>
      </c>
      <c r="AB1532" s="313" t="str">
        <f t="shared" si="120"/>
        <v/>
      </c>
      <c r="AC1532" s="170" t="str">
        <f t="shared" si="121"/>
        <v/>
      </c>
      <c r="AD1532" s="170" t="str">
        <f t="shared" si="122"/>
        <v/>
      </c>
    </row>
    <row r="1533" spans="1:30" s="170" customFormat="1" ht="20.399999999999999">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119"/>
        <v/>
      </c>
      <c r="T1533" s="155" t="str">
        <f ca="1">IF(B1533="","",IF(ISERROR(MATCH($J1533,SorP!$B$1:$B$6226,0)),"",INDIRECT("'SorP'!$A$"&amp;MATCH($S1533&amp;$J1533,SorP!C:C,0))))</f>
        <v/>
      </c>
      <c r="U1533" s="168"/>
      <c r="V1533" s="169" t="e">
        <f>IF(C1533="",NA(),MATCH($B1533&amp;$C1533,'Smelter Look-up'!$J:$J,0))</f>
        <v>#N/A</v>
      </c>
      <c r="X1533" s="170">
        <f t="shared" ca="1" si="118"/>
        <v>0</v>
      </c>
      <c r="AB1533" s="313" t="str">
        <f t="shared" si="120"/>
        <v/>
      </c>
      <c r="AC1533" s="170" t="str">
        <f t="shared" si="121"/>
        <v/>
      </c>
      <c r="AD1533" s="170" t="str">
        <f t="shared" si="122"/>
        <v/>
      </c>
    </row>
    <row r="1534" spans="1:30" s="170" customFormat="1" ht="20.399999999999999">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119"/>
        <v/>
      </c>
      <c r="T1534" s="155" t="str">
        <f ca="1">IF(B1534="","",IF(ISERROR(MATCH($J1534,SorP!$B$1:$B$6226,0)),"",INDIRECT("'SorP'!$A$"&amp;MATCH($S1534&amp;$J1534,SorP!C:C,0))))</f>
        <v/>
      </c>
      <c r="U1534" s="168"/>
      <c r="V1534" s="169" t="e">
        <f>IF(C1534="",NA(),MATCH($B1534&amp;$C1534,'Smelter Look-up'!$J:$J,0))</f>
        <v>#N/A</v>
      </c>
      <c r="X1534" s="170">
        <f t="shared" ca="1" si="118"/>
        <v>0</v>
      </c>
      <c r="AB1534" s="313" t="str">
        <f t="shared" si="120"/>
        <v/>
      </c>
      <c r="AC1534" s="170" t="str">
        <f t="shared" si="121"/>
        <v/>
      </c>
      <c r="AD1534" s="170" t="str">
        <f t="shared" si="122"/>
        <v/>
      </c>
    </row>
    <row r="1535" spans="1:30" s="170" customFormat="1" ht="20.399999999999999">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119"/>
        <v/>
      </c>
      <c r="T1535" s="155" t="str">
        <f ca="1">IF(B1535="","",IF(ISERROR(MATCH($J1535,SorP!$B$1:$B$6226,0)),"",INDIRECT("'SorP'!$A$"&amp;MATCH($S1535&amp;$J1535,SorP!C:C,0))))</f>
        <v/>
      </c>
      <c r="U1535" s="168"/>
      <c r="V1535" s="169" t="e">
        <f>IF(C1535="",NA(),MATCH($B1535&amp;$C1535,'Smelter Look-up'!$J:$J,0))</f>
        <v>#N/A</v>
      </c>
      <c r="X1535" s="170">
        <f t="shared" ref="X1535:X1598" ca="1" si="123">IF(AND(C1535="Smelter not listed",OR(LEN(D1535)=0,LEN(E1535)=0)),1,0)</f>
        <v>0</v>
      </c>
      <c r="AB1535" s="313" t="str">
        <f t="shared" si="120"/>
        <v/>
      </c>
      <c r="AC1535" s="170" t="str">
        <f t="shared" si="121"/>
        <v/>
      </c>
      <c r="AD1535" s="170" t="str">
        <f t="shared" si="122"/>
        <v/>
      </c>
    </row>
    <row r="1536" spans="1:30" s="170" customFormat="1" ht="20.399999999999999">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ref="S1536:S1599" ca="1" si="124">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123"/>
        <v>0</v>
      </c>
      <c r="AB1536" s="313" t="str">
        <f t="shared" si="120"/>
        <v/>
      </c>
      <c r="AC1536" s="170" t="str">
        <f t="shared" si="121"/>
        <v/>
      </c>
      <c r="AD1536" s="170" t="str">
        <f t="shared" si="122"/>
        <v/>
      </c>
    </row>
    <row r="1537" spans="1:30" s="170" customFormat="1" ht="20.399999999999999">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124"/>
        <v/>
      </c>
      <c r="T1537" s="155" t="str">
        <f ca="1">IF(B1537="","",IF(ISERROR(MATCH($J1537,SorP!$B$1:$B$6226,0)),"",INDIRECT("'SorP'!$A$"&amp;MATCH($S1537&amp;$J1537,SorP!C:C,0))))</f>
        <v/>
      </c>
      <c r="U1537" s="168"/>
      <c r="V1537" s="169" t="e">
        <f>IF(C1537="",NA(),MATCH($B1537&amp;$C1537,'Smelter Look-up'!$J:$J,0))</f>
        <v>#N/A</v>
      </c>
      <c r="X1537" s="170">
        <f t="shared" ca="1" si="123"/>
        <v>0</v>
      </c>
      <c r="AB1537" s="313" t="str">
        <f t="shared" si="120"/>
        <v/>
      </c>
      <c r="AC1537" s="170" t="str">
        <f t="shared" si="121"/>
        <v/>
      </c>
      <c r="AD1537" s="170" t="str">
        <f t="shared" si="122"/>
        <v/>
      </c>
    </row>
    <row r="1538" spans="1:30" s="170" customFormat="1" ht="20.399999999999999">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124"/>
        <v/>
      </c>
      <c r="T1538" s="155" t="str">
        <f ca="1">IF(B1538="","",IF(ISERROR(MATCH($J1538,SorP!$B$1:$B$6226,0)),"",INDIRECT("'SorP'!$A$"&amp;MATCH($S1538&amp;$J1538,SorP!C:C,0))))</f>
        <v/>
      </c>
      <c r="U1538" s="168"/>
      <c r="V1538" s="169" t="e">
        <f>IF(C1538="",NA(),MATCH($B1538&amp;$C1538,'Smelter Look-up'!$J:$J,0))</f>
        <v>#N/A</v>
      </c>
      <c r="X1538" s="170">
        <f t="shared" ca="1" si="123"/>
        <v>0</v>
      </c>
      <c r="AB1538" s="313" t="str">
        <f t="shared" si="120"/>
        <v/>
      </c>
      <c r="AC1538" s="170" t="str">
        <f t="shared" si="121"/>
        <v/>
      </c>
      <c r="AD1538" s="170" t="str">
        <f t="shared" si="122"/>
        <v/>
      </c>
    </row>
    <row r="1539" spans="1:30" s="170" customFormat="1" ht="20.399999999999999">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124"/>
        <v/>
      </c>
      <c r="T1539" s="155" t="str">
        <f ca="1">IF(B1539="","",IF(ISERROR(MATCH($J1539,SorP!$B$1:$B$6226,0)),"",INDIRECT("'SorP'!$A$"&amp;MATCH($S1539&amp;$J1539,SorP!C:C,0))))</f>
        <v/>
      </c>
      <c r="U1539" s="168"/>
      <c r="V1539" s="169" t="e">
        <f>IF(C1539="",NA(),MATCH($B1539&amp;$C1539,'Smelter Look-up'!$J:$J,0))</f>
        <v>#N/A</v>
      </c>
      <c r="X1539" s="170">
        <f t="shared" ca="1" si="123"/>
        <v>0</v>
      </c>
      <c r="AB1539" s="313" t="str">
        <f t="shared" si="120"/>
        <v/>
      </c>
      <c r="AC1539" s="170" t="str">
        <f t="shared" si="121"/>
        <v/>
      </c>
      <c r="AD1539" s="170" t="str">
        <f t="shared" si="122"/>
        <v/>
      </c>
    </row>
    <row r="1540" spans="1:30" s="170" customFormat="1" ht="20.399999999999999">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124"/>
        <v/>
      </c>
      <c r="T1540" s="155" t="str">
        <f ca="1">IF(B1540="","",IF(ISERROR(MATCH($J1540,SorP!$B$1:$B$6226,0)),"",INDIRECT("'SorP'!$A$"&amp;MATCH($S1540&amp;$J1540,SorP!C:C,0))))</f>
        <v/>
      </c>
      <c r="U1540" s="168"/>
      <c r="V1540" s="169" t="e">
        <f>IF(C1540="",NA(),MATCH($B1540&amp;$C1540,'Smelter Look-up'!$J:$J,0))</f>
        <v>#N/A</v>
      </c>
      <c r="X1540" s="170">
        <f t="shared" ca="1" si="123"/>
        <v>0</v>
      </c>
      <c r="AB1540" s="313" t="str">
        <f t="shared" si="120"/>
        <v/>
      </c>
      <c r="AC1540" s="170" t="str">
        <f t="shared" si="121"/>
        <v/>
      </c>
      <c r="AD1540" s="170" t="str">
        <f t="shared" si="122"/>
        <v/>
      </c>
    </row>
    <row r="1541" spans="1:30" s="170" customFormat="1" ht="20.399999999999999">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124"/>
        <v/>
      </c>
      <c r="T1541" s="155" t="str">
        <f ca="1">IF(B1541="","",IF(ISERROR(MATCH($J1541,SorP!$B$1:$B$6226,0)),"",INDIRECT("'SorP'!$A$"&amp;MATCH($S1541&amp;$J1541,SorP!C:C,0))))</f>
        <v/>
      </c>
      <c r="U1541" s="168"/>
      <c r="V1541" s="169" t="e">
        <f>IF(C1541="",NA(),MATCH($B1541&amp;$C1541,'Smelter Look-up'!$J:$J,0))</f>
        <v>#N/A</v>
      </c>
      <c r="X1541" s="170">
        <f t="shared" ca="1" si="123"/>
        <v>0</v>
      </c>
      <c r="AB1541" s="313" t="str">
        <f t="shared" si="120"/>
        <v/>
      </c>
      <c r="AC1541" s="170" t="str">
        <f t="shared" si="121"/>
        <v/>
      </c>
      <c r="AD1541" s="170" t="str">
        <f t="shared" si="122"/>
        <v/>
      </c>
    </row>
    <row r="1542" spans="1:30" s="170" customFormat="1" ht="20.399999999999999">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124"/>
        <v/>
      </c>
      <c r="T1542" s="155" t="str">
        <f ca="1">IF(B1542="","",IF(ISERROR(MATCH($J1542,SorP!$B$1:$B$6226,0)),"",INDIRECT("'SorP'!$A$"&amp;MATCH($S1542&amp;$J1542,SorP!C:C,0))))</f>
        <v/>
      </c>
      <c r="U1542" s="168"/>
      <c r="V1542" s="169" t="e">
        <f>IF(C1542="",NA(),MATCH($B1542&amp;$C1542,'Smelter Look-up'!$J:$J,0))</f>
        <v>#N/A</v>
      </c>
      <c r="X1542" s="170">
        <f t="shared" ca="1" si="123"/>
        <v>0</v>
      </c>
      <c r="AB1542" s="313" t="str">
        <f t="shared" ref="AB1542:AB1605" si="125">IF(C1542="","",B1542)</f>
        <v/>
      </c>
      <c r="AC1542" s="170" t="str">
        <f t="shared" ref="AC1542:AC1605" si="126">B1542</f>
        <v/>
      </c>
      <c r="AD1542" s="170" t="str">
        <f t="shared" ref="AD1542:AD1605" si="127">IF(C1542="Smelter not listed",D1542,C1542)</f>
        <v/>
      </c>
    </row>
    <row r="1543" spans="1:30" s="170" customFormat="1" ht="20.399999999999999">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124"/>
        <v/>
      </c>
      <c r="T1543" s="155" t="str">
        <f ca="1">IF(B1543="","",IF(ISERROR(MATCH($J1543,SorP!$B$1:$B$6226,0)),"",INDIRECT("'SorP'!$A$"&amp;MATCH($S1543&amp;$J1543,SorP!C:C,0))))</f>
        <v/>
      </c>
      <c r="U1543" s="168"/>
      <c r="V1543" s="169" t="e">
        <f>IF(C1543="",NA(),MATCH($B1543&amp;$C1543,'Smelter Look-up'!$J:$J,0))</f>
        <v>#N/A</v>
      </c>
      <c r="X1543" s="170">
        <f t="shared" ca="1" si="123"/>
        <v>0</v>
      </c>
      <c r="AB1543" s="313" t="str">
        <f t="shared" si="125"/>
        <v/>
      </c>
      <c r="AC1543" s="170" t="str">
        <f t="shared" si="126"/>
        <v/>
      </c>
      <c r="AD1543" s="170" t="str">
        <f t="shared" si="127"/>
        <v/>
      </c>
    </row>
    <row r="1544" spans="1:30" s="170" customFormat="1" ht="20.399999999999999">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124"/>
        <v/>
      </c>
      <c r="T1544" s="155" t="str">
        <f ca="1">IF(B1544="","",IF(ISERROR(MATCH($J1544,SorP!$B$1:$B$6226,0)),"",INDIRECT("'SorP'!$A$"&amp;MATCH($S1544&amp;$J1544,SorP!C:C,0))))</f>
        <v/>
      </c>
      <c r="U1544" s="168"/>
      <c r="V1544" s="169" t="e">
        <f>IF(C1544="",NA(),MATCH($B1544&amp;$C1544,'Smelter Look-up'!$J:$J,0))</f>
        <v>#N/A</v>
      </c>
      <c r="X1544" s="170">
        <f t="shared" ca="1" si="123"/>
        <v>0</v>
      </c>
      <c r="AB1544" s="313" t="str">
        <f t="shared" si="125"/>
        <v/>
      </c>
      <c r="AC1544" s="170" t="str">
        <f t="shared" si="126"/>
        <v/>
      </c>
      <c r="AD1544" s="170" t="str">
        <f t="shared" si="127"/>
        <v/>
      </c>
    </row>
    <row r="1545" spans="1:30" s="170" customFormat="1" ht="20.399999999999999">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124"/>
        <v/>
      </c>
      <c r="T1545" s="155" t="str">
        <f ca="1">IF(B1545="","",IF(ISERROR(MATCH($J1545,SorP!$B$1:$B$6226,0)),"",INDIRECT("'SorP'!$A$"&amp;MATCH($S1545&amp;$J1545,SorP!C:C,0))))</f>
        <v/>
      </c>
      <c r="U1545" s="168"/>
      <c r="V1545" s="169" t="e">
        <f>IF(C1545="",NA(),MATCH($B1545&amp;$C1545,'Smelter Look-up'!$J:$J,0))</f>
        <v>#N/A</v>
      </c>
      <c r="X1545" s="170">
        <f t="shared" ca="1" si="123"/>
        <v>0</v>
      </c>
      <c r="AB1545" s="313" t="str">
        <f t="shared" si="125"/>
        <v/>
      </c>
      <c r="AC1545" s="170" t="str">
        <f t="shared" si="126"/>
        <v/>
      </c>
      <c r="AD1545" s="170" t="str">
        <f t="shared" si="127"/>
        <v/>
      </c>
    </row>
    <row r="1546" spans="1:30" s="170" customFormat="1" ht="20.399999999999999">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124"/>
        <v/>
      </c>
      <c r="T1546" s="155" t="str">
        <f ca="1">IF(B1546="","",IF(ISERROR(MATCH($J1546,SorP!$B$1:$B$6226,0)),"",INDIRECT("'SorP'!$A$"&amp;MATCH($S1546&amp;$J1546,SorP!C:C,0))))</f>
        <v/>
      </c>
      <c r="U1546" s="168"/>
      <c r="V1546" s="169" t="e">
        <f>IF(C1546="",NA(),MATCH($B1546&amp;$C1546,'Smelter Look-up'!$J:$J,0))</f>
        <v>#N/A</v>
      </c>
      <c r="X1546" s="170">
        <f t="shared" ca="1" si="123"/>
        <v>0</v>
      </c>
      <c r="AB1546" s="313" t="str">
        <f t="shared" si="125"/>
        <v/>
      </c>
      <c r="AC1546" s="170" t="str">
        <f t="shared" si="126"/>
        <v/>
      </c>
      <c r="AD1546" s="170" t="str">
        <f t="shared" si="127"/>
        <v/>
      </c>
    </row>
    <row r="1547" spans="1:30" s="170" customFormat="1" ht="20.399999999999999">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124"/>
        <v/>
      </c>
      <c r="T1547" s="155" t="str">
        <f ca="1">IF(B1547="","",IF(ISERROR(MATCH($J1547,SorP!$B$1:$B$6226,0)),"",INDIRECT("'SorP'!$A$"&amp;MATCH($S1547&amp;$J1547,SorP!C:C,0))))</f>
        <v/>
      </c>
      <c r="U1547" s="168"/>
      <c r="V1547" s="169" t="e">
        <f>IF(C1547="",NA(),MATCH($B1547&amp;$C1547,'Smelter Look-up'!$J:$J,0))</f>
        <v>#N/A</v>
      </c>
      <c r="X1547" s="170">
        <f t="shared" ca="1" si="123"/>
        <v>0</v>
      </c>
      <c r="AB1547" s="313" t="str">
        <f t="shared" si="125"/>
        <v/>
      </c>
      <c r="AC1547" s="170" t="str">
        <f t="shared" si="126"/>
        <v/>
      </c>
      <c r="AD1547" s="170" t="str">
        <f t="shared" si="127"/>
        <v/>
      </c>
    </row>
    <row r="1548" spans="1:30" s="170" customFormat="1" ht="20.399999999999999">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124"/>
        <v/>
      </c>
      <c r="T1548" s="155" t="str">
        <f ca="1">IF(B1548="","",IF(ISERROR(MATCH($J1548,SorP!$B$1:$B$6226,0)),"",INDIRECT("'SorP'!$A$"&amp;MATCH($S1548&amp;$J1548,SorP!C:C,0))))</f>
        <v/>
      </c>
      <c r="U1548" s="168"/>
      <c r="V1548" s="169" t="e">
        <f>IF(C1548="",NA(),MATCH($B1548&amp;$C1548,'Smelter Look-up'!$J:$J,0))</f>
        <v>#N/A</v>
      </c>
      <c r="X1548" s="170">
        <f t="shared" ca="1" si="123"/>
        <v>0</v>
      </c>
      <c r="AB1548" s="313" t="str">
        <f t="shared" si="125"/>
        <v/>
      </c>
      <c r="AC1548" s="170" t="str">
        <f t="shared" si="126"/>
        <v/>
      </c>
      <c r="AD1548" s="170" t="str">
        <f t="shared" si="127"/>
        <v/>
      </c>
    </row>
    <row r="1549" spans="1:30" s="170" customFormat="1" ht="20.399999999999999">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124"/>
        <v/>
      </c>
      <c r="T1549" s="155" t="str">
        <f ca="1">IF(B1549="","",IF(ISERROR(MATCH($J1549,SorP!$B$1:$B$6226,0)),"",INDIRECT("'SorP'!$A$"&amp;MATCH($S1549&amp;$J1549,SorP!C:C,0))))</f>
        <v/>
      </c>
      <c r="U1549" s="168"/>
      <c r="V1549" s="169" t="e">
        <f>IF(C1549="",NA(),MATCH($B1549&amp;$C1549,'Smelter Look-up'!$J:$J,0))</f>
        <v>#N/A</v>
      </c>
      <c r="X1549" s="170">
        <f t="shared" ca="1" si="123"/>
        <v>0</v>
      </c>
      <c r="AB1549" s="313" t="str">
        <f t="shared" si="125"/>
        <v/>
      </c>
      <c r="AC1549" s="170" t="str">
        <f t="shared" si="126"/>
        <v/>
      </c>
      <c r="AD1549" s="170" t="str">
        <f t="shared" si="127"/>
        <v/>
      </c>
    </row>
    <row r="1550" spans="1:30" s="170" customFormat="1" ht="20.399999999999999">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124"/>
        <v/>
      </c>
      <c r="T1550" s="155" t="str">
        <f ca="1">IF(B1550="","",IF(ISERROR(MATCH($J1550,SorP!$B$1:$B$6226,0)),"",INDIRECT("'SorP'!$A$"&amp;MATCH($S1550&amp;$J1550,SorP!C:C,0))))</f>
        <v/>
      </c>
      <c r="U1550" s="168"/>
      <c r="V1550" s="169" t="e">
        <f>IF(C1550="",NA(),MATCH($B1550&amp;$C1550,'Smelter Look-up'!$J:$J,0))</f>
        <v>#N/A</v>
      </c>
      <c r="X1550" s="170">
        <f t="shared" ca="1" si="123"/>
        <v>0</v>
      </c>
      <c r="AB1550" s="313" t="str">
        <f t="shared" si="125"/>
        <v/>
      </c>
      <c r="AC1550" s="170" t="str">
        <f t="shared" si="126"/>
        <v/>
      </c>
      <c r="AD1550" s="170" t="str">
        <f t="shared" si="127"/>
        <v/>
      </c>
    </row>
    <row r="1551" spans="1:30" s="170" customFormat="1" ht="20.399999999999999">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124"/>
        <v/>
      </c>
      <c r="T1551" s="155" t="str">
        <f ca="1">IF(B1551="","",IF(ISERROR(MATCH($J1551,SorP!$B$1:$B$6226,0)),"",INDIRECT("'SorP'!$A$"&amp;MATCH($S1551&amp;$J1551,SorP!C:C,0))))</f>
        <v/>
      </c>
      <c r="U1551" s="168"/>
      <c r="V1551" s="169" t="e">
        <f>IF(C1551="",NA(),MATCH($B1551&amp;$C1551,'Smelter Look-up'!$J:$J,0))</f>
        <v>#N/A</v>
      </c>
      <c r="X1551" s="170">
        <f t="shared" ca="1" si="123"/>
        <v>0</v>
      </c>
      <c r="AB1551" s="313" t="str">
        <f t="shared" si="125"/>
        <v/>
      </c>
      <c r="AC1551" s="170" t="str">
        <f t="shared" si="126"/>
        <v/>
      </c>
      <c r="AD1551" s="170" t="str">
        <f t="shared" si="127"/>
        <v/>
      </c>
    </row>
    <row r="1552" spans="1:30" s="170" customFormat="1" ht="20.399999999999999">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124"/>
        <v/>
      </c>
      <c r="T1552" s="155" t="str">
        <f ca="1">IF(B1552="","",IF(ISERROR(MATCH($J1552,SorP!$B$1:$B$6226,0)),"",INDIRECT("'SorP'!$A$"&amp;MATCH($S1552&amp;$J1552,SorP!C:C,0))))</f>
        <v/>
      </c>
      <c r="U1552" s="168"/>
      <c r="V1552" s="169" t="e">
        <f>IF(C1552="",NA(),MATCH($B1552&amp;$C1552,'Smelter Look-up'!$J:$J,0))</f>
        <v>#N/A</v>
      </c>
      <c r="X1552" s="170">
        <f t="shared" ca="1" si="123"/>
        <v>0</v>
      </c>
      <c r="AB1552" s="313" t="str">
        <f t="shared" si="125"/>
        <v/>
      </c>
      <c r="AC1552" s="170" t="str">
        <f t="shared" si="126"/>
        <v/>
      </c>
      <c r="AD1552" s="170" t="str">
        <f t="shared" si="127"/>
        <v/>
      </c>
    </row>
    <row r="1553" spans="1:30" s="170" customFormat="1" ht="20.399999999999999">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124"/>
        <v/>
      </c>
      <c r="T1553" s="155" t="str">
        <f ca="1">IF(B1553="","",IF(ISERROR(MATCH($J1553,SorP!$B$1:$B$6226,0)),"",INDIRECT("'SorP'!$A$"&amp;MATCH($S1553&amp;$J1553,SorP!C:C,0))))</f>
        <v/>
      </c>
      <c r="U1553" s="168"/>
      <c r="V1553" s="169" t="e">
        <f>IF(C1553="",NA(),MATCH($B1553&amp;$C1553,'Smelter Look-up'!$J:$J,0))</f>
        <v>#N/A</v>
      </c>
      <c r="X1553" s="170">
        <f t="shared" ca="1" si="123"/>
        <v>0</v>
      </c>
      <c r="AB1553" s="313" t="str">
        <f t="shared" si="125"/>
        <v/>
      </c>
      <c r="AC1553" s="170" t="str">
        <f t="shared" si="126"/>
        <v/>
      </c>
      <c r="AD1553" s="170" t="str">
        <f t="shared" si="127"/>
        <v/>
      </c>
    </row>
    <row r="1554" spans="1:30" s="170" customFormat="1" ht="20.399999999999999">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124"/>
        <v/>
      </c>
      <c r="T1554" s="155" t="str">
        <f ca="1">IF(B1554="","",IF(ISERROR(MATCH($J1554,SorP!$B$1:$B$6226,0)),"",INDIRECT("'SorP'!$A$"&amp;MATCH($S1554&amp;$J1554,SorP!C:C,0))))</f>
        <v/>
      </c>
      <c r="U1554" s="168"/>
      <c r="V1554" s="169" t="e">
        <f>IF(C1554="",NA(),MATCH($B1554&amp;$C1554,'Smelter Look-up'!$J:$J,0))</f>
        <v>#N/A</v>
      </c>
      <c r="X1554" s="170">
        <f t="shared" ca="1" si="123"/>
        <v>0</v>
      </c>
      <c r="AB1554" s="313" t="str">
        <f t="shared" si="125"/>
        <v/>
      </c>
      <c r="AC1554" s="170" t="str">
        <f t="shared" si="126"/>
        <v/>
      </c>
      <c r="AD1554" s="170" t="str">
        <f t="shared" si="127"/>
        <v/>
      </c>
    </row>
    <row r="1555" spans="1:30" s="170" customFormat="1" ht="20.399999999999999">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124"/>
        <v/>
      </c>
      <c r="T1555" s="155" t="str">
        <f ca="1">IF(B1555="","",IF(ISERROR(MATCH($J1555,SorP!$B$1:$B$6226,0)),"",INDIRECT("'SorP'!$A$"&amp;MATCH($S1555&amp;$J1555,SorP!C:C,0))))</f>
        <v/>
      </c>
      <c r="U1555" s="168"/>
      <c r="V1555" s="169" t="e">
        <f>IF(C1555="",NA(),MATCH($B1555&amp;$C1555,'Smelter Look-up'!$J:$J,0))</f>
        <v>#N/A</v>
      </c>
      <c r="X1555" s="170">
        <f t="shared" ca="1" si="123"/>
        <v>0</v>
      </c>
      <c r="AB1555" s="313" t="str">
        <f t="shared" si="125"/>
        <v/>
      </c>
      <c r="AC1555" s="170" t="str">
        <f t="shared" si="126"/>
        <v/>
      </c>
      <c r="AD1555" s="170" t="str">
        <f t="shared" si="127"/>
        <v/>
      </c>
    </row>
    <row r="1556" spans="1:30" s="170" customFormat="1" ht="20.399999999999999">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124"/>
        <v/>
      </c>
      <c r="T1556" s="155" t="str">
        <f ca="1">IF(B1556="","",IF(ISERROR(MATCH($J1556,SorP!$B$1:$B$6226,0)),"",INDIRECT("'SorP'!$A$"&amp;MATCH($S1556&amp;$J1556,SorP!C:C,0))))</f>
        <v/>
      </c>
      <c r="U1556" s="168"/>
      <c r="V1556" s="169" t="e">
        <f>IF(C1556="",NA(),MATCH($B1556&amp;$C1556,'Smelter Look-up'!$J:$J,0))</f>
        <v>#N/A</v>
      </c>
      <c r="X1556" s="170">
        <f t="shared" ca="1" si="123"/>
        <v>0</v>
      </c>
      <c r="AB1556" s="313" t="str">
        <f t="shared" si="125"/>
        <v/>
      </c>
      <c r="AC1556" s="170" t="str">
        <f t="shared" si="126"/>
        <v/>
      </c>
      <c r="AD1556" s="170" t="str">
        <f t="shared" si="127"/>
        <v/>
      </c>
    </row>
    <row r="1557" spans="1:30" s="170" customFormat="1" ht="20.399999999999999">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124"/>
        <v/>
      </c>
      <c r="T1557" s="155" t="str">
        <f ca="1">IF(B1557="","",IF(ISERROR(MATCH($J1557,SorP!$B$1:$B$6226,0)),"",INDIRECT("'SorP'!$A$"&amp;MATCH($S1557&amp;$J1557,SorP!C:C,0))))</f>
        <v/>
      </c>
      <c r="U1557" s="168"/>
      <c r="V1557" s="169" t="e">
        <f>IF(C1557="",NA(),MATCH($B1557&amp;$C1557,'Smelter Look-up'!$J:$J,0))</f>
        <v>#N/A</v>
      </c>
      <c r="X1557" s="170">
        <f t="shared" ca="1" si="123"/>
        <v>0</v>
      </c>
      <c r="AB1557" s="313" t="str">
        <f t="shared" si="125"/>
        <v/>
      </c>
      <c r="AC1557" s="170" t="str">
        <f t="shared" si="126"/>
        <v/>
      </c>
      <c r="AD1557" s="170" t="str">
        <f t="shared" si="127"/>
        <v/>
      </c>
    </row>
    <row r="1558" spans="1:30" s="170" customFormat="1" ht="20.399999999999999">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124"/>
        <v/>
      </c>
      <c r="T1558" s="155" t="str">
        <f ca="1">IF(B1558="","",IF(ISERROR(MATCH($J1558,SorP!$B$1:$B$6226,0)),"",INDIRECT("'SorP'!$A$"&amp;MATCH($S1558&amp;$J1558,SorP!C:C,0))))</f>
        <v/>
      </c>
      <c r="U1558" s="168"/>
      <c r="V1558" s="169" t="e">
        <f>IF(C1558="",NA(),MATCH($B1558&amp;$C1558,'Smelter Look-up'!$J:$J,0))</f>
        <v>#N/A</v>
      </c>
      <c r="X1558" s="170">
        <f t="shared" ca="1" si="123"/>
        <v>0</v>
      </c>
      <c r="AB1558" s="313" t="str">
        <f t="shared" si="125"/>
        <v/>
      </c>
      <c r="AC1558" s="170" t="str">
        <f t="shared" si="126"/>
        <v/>
      </c>
      <c r="AD1558" s="170" t="str">
        <f t="shared" si="127"/>
        <v/>
      </c>
    </row>
    <row r="1559" spans="1:30" s="170" customFormat="1" ht="20.399999999999999">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124"/>
        <v/>
      </c>
      <c r="T1559" s="155" t="str">
        <f ca="1">IF(B1559="","",IF(ISERROR(MATCH($J1559,SorP!$B$1:$B$6226,0)),"",INDIRECT("'SorP'!$A$"&amp;MATCH($S1559&amp;$J1559,SorP!C:C,0))))</f>
        <v/>
      </c>
      <c r="U1559" s="168"/>
      <c r="V1559" s="169" t="e">
        <f>IF(C1559="",NA(),MATCH($B1559&amp;$C1559,'Smelter Look-up'!$J:$J,0))</f>
        <v>#N/A</v>
      </c>
      <c r="X1559" s="170">
        <f t="shared" ca="1" si="123"/>
        <v>0</v>
      </c>
      <c r="AB1559" s="313" t="str">
        <f t="shared" si="125"/>
        <v/>
      </c>
      <c r="AC1559" s="170" t="str">
        <f t="shared" si="126"/>
        <v/>
      </c>
      <c r="AD1559" s="170" t="str">
        <f t="shared" si="127"/>
        <v/>
      </c>
    </row>
    <row r="1560" spans="1:30" s="170" customFormat="1" ht="20.399999999999999">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124"/>
        <v/>
      </c>
      <c r="T1560" s="155" t="str">
        <f ca="1">IF(B1560="","",IF(ISERROR(MATCH($J1560,SorP!$B$1:$B$6226,0)),"",INDIRECT("'SorP'!$A$"&amp;MATCH($S1560&amp;$J1560,SorP!C:C,0))))</f>
        <v/>
      </c>
      <c r="U1560" s="168"/>
      <c r="V1560" s="169" t="e">
        <f>IF(C1560="",NA(),MATCH($B1560&amp;$C1560,'Smelter Look-up'!$J:$J,0))</f>
        <v>#N/A</v>
      </c>
      <c r="X1560" s="170">
        <f t="shared" ca="1" si="123"/>
        <v>0</v>
      </c>
      <c r="AB1560" s="313" t="str">
        <f t="shared" si="125"/>
        <v/>
      </c>
      <c r="AC1560" s="170" t="str">
        <f t="shared" si="126"/>
        <v/>
      </c>
      <c r="AD1560" s="170" t="str">
        <f t="shared" si="127"/>
        <v/>
      </c>
    </row>
    <row r="1561" spans="1:30" s="170" customFormat="1" ht="20.399999999999999">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124"/>
        <v/>
      </c>
      <c r="T1561" s="155" t="str">
        <f ca="1">IF(B1561="","",IF(ISERROR(MATCH($J1561,SorP!$B$1:$B$6226,0)),"",INDIRECT("'SorP'!$A$"&amp;MATCH($S1561&amp;$J1561,SorP!C:C,0))))</f>
        <v/>
      </c>
      <c r="U1561" s="168"/>
      <c r="V1561" s="169" t="e">
        <f>IF(C1561="",NA(),MATCH($B1561&amp;$C1561,'Smelter Look-up'!$J:$J,0))</f>
        <v>#N/A</v>
      </c>
      <c r="X1561" s="170">
        <f t="shared" ca="1" si="123"/>
        <v>0</v>
      </c>
      <c r="AB1561" s="313" t="str">
        <f t="shared" si="125"/>
        <v/>
      </c>
      <c r="AC1561" s="170" t="str">
        <f t="shared" si="126"/>
        <v/>
      </c>
      <c r="AD1561" s="170" t="str">
        <f t="shared" si="127"/>
        <v/>
      </c>
    </row>
    <row r="1562" spans="1:30" s="170" customFormat="1" ht="20.399999999999999">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124"/>
        <v/>
      </c>
      <c r="T1562" s="155" t="str">
        <f ca="1">IF(B1562="","",IF(ISERROR(MATCH($J1562,SorP!$B$1:$B$6226,0)),"",INDIRECT("'SorP'!$A$"&amp;MATCH($S1562&amp;$J1562,SorP!C:C,0))))</f>
        <v/>
      </c>
      <c r="U1562" s="168"/>
      <c r="V1562" s="169" t="e">
        <f>IF(C1562="",NA(),MATCH($B1562&amp;$C1562,'Smelter Look-up'!$J:$J,0))</f>
        <v>#N/A</v>
      </c>
      <c r="X1562" s="170">
        <f t="shared" ca="1" si="123"/>
        <v>0</v>
      </c>
      <c r="AB1562" s="313" t="str">
        <f t="shared" si="125"/>
        <v/>
      </c>
      <c r="AC1562" s="170" t="str">
        <f t="shared" si="126"/>
        <v/>
      </c>
      <c r="AD1562" s="170" t="str">
        <f t="shared" si="127"/>
        <v/>
      </c>
    </row>
    <row r="1563" spans="1:30" s="170" customFormat="1" ht="20.399999999999999">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124"/>
        <v/>
      </c>
      <c r="T1563" s="155" t="str">
        <f ca="1">IF(B1563="","",IF(ISERROR(MATCH($J1563,SorP!$B$1:$B$6226,0)),"",INDIRECT("'SorP'!$A$"&amp;MATCH($S1563&amp;$J1563,SorP!C:C,0))))</f>
        <v/>
      </c>
      <c r="U1563" s="168"/>
      <c r="V1563" s="169" t="e">
        <f>IF(C1563="",NA(),MATCH($B1563&amp;$C1563,'Smelter Look-up'!$J:$J,0))</f>
        <v>#N/A</v>
      </c>
      <c r="X1563" s="170">
        <f t="shared" ca="1" si="123"/>
        <v>0</v>
      </c>
      <c r="AB1563" s="313" t="str">
        <f t="shared" si="125"/>
        <v/>
      </c>
      <c r="AC1563" s="170" t="str">
        <f t="shared" si="126"/>
        <v/>
      </c>
      <c r="AD1563" s="170" t="str">
        <f t="shared" si="127"/>
        <v/>
      </c>
    </row>
    <row r="1564" spans="1:30" s="170" customFormat="1" ht="20.399999999999999">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124"/>
        <v/>
      </c>
      <c r="T1564" s="155" t="str">
        <f ca="1">IF(B1564="","",IF(ISERROR(MATCH($J1564,SorP!$B$1:$B$6226,0)),"",INDIRECT("'SorP'!$A$"&amp;MATCH($S1564&amp;$J1564,SorP!C:C,0))))</f>
        <v/>
      </c>
      <c r="U1564" s="168"/>
      <c r="V1564" s="169" t="e">
        <f>IF(C1564="",NA(),MATCH($B1564&amp;$C1564,'Smelter Look-up'!$J:$J,0))</f>
        <v>#N/A</v>
      </c>
      <c r="X1564" s="170">
        <f t="shared" ca="1" si="123"/>
        <v>0</v>
      </c>
      <c r="AB1564" s="313" t="str">
        <f t="shared" si="125"/>
        <v/>
      </c>
      <c r="AC1564" s="170" t="str">
        <f t="shared" si="126"/>
        <v/>
      </c>
      <c r="AD1564" s="170" t="str">
        <f t="shared" si="127"/>
        <v/>
      </c>
    </row>
    <row r="1565" spans="1:30" s="170" customFormat="1" ht="20.399999999999999">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124"/>
        <v/>
      </c>
      <c r="T1565" s="155" t="str">
        <f ca="1">IF(B1565="","",IF(ISERROR(MATCH($J1565,SorP!$B$1:$B$6226,0)),"",INDIRECT("'SorP'!$A$"&amp;MATCH($S1565&amp;$J1565,SorP!C:C,0))))</f>
        <v/>
      </c>
      <c r="U1565" s="168"/>
      <c r="V1565" s="169" t="e">
        <f>IF(C1565="",NA(),MATCH($B1565&amp;$C1565,'Smelter Look-up'!$J:$J,0))</f>
        <v>#N/A</v>
      </c>
      <c r="X1565" s="170">
        <f t="shared" ca="1" si="123"/>
        <v>0</v>
      </c>
      <c r="AB1565" s="313" t="str">
        <f t="shared" si="125"/>
        <v/>
      </c>
      <c r="AC1565" s="170" t="str">
        <f t="shared" si="126"/>
        <v/>
      </c>
      <c r="AD1565" s="170" t="str">
        <f t="shared" si="127"/>
        <v/>
      </c>
    </row>
    <row r="1566" spans="1:30" s="170" customFormat="1" ht="20.399999999999999">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124"/>
        <v/>
      </c>
      <c r="T1566" s="155" t="str">
        <f ca="1">IF(B1566="","",IF(ISERROR(MATCH($J1566,SorP!$B$1:$B$6226,0)),"",INDIRECT("'SorP'!$A$"&amp;MATCH($S1566&amp;$J1566,SorP!C:C,0))))</f>
        <v/>
      </c>
      <c r="U1566" s="168"/>
      <c r="V1566" s="169" t="e">
        <f>IF(C1566="",NA(),MATCH($B1566&amp;$C1566,'Smelter Look-up'!$J:$J,0))</f>
        <v>#N/A</v>
      </c>
      <c r="X1566" s="170">
        <f t="shared" ca="1" si="123"/>
        <v>0</v>
      </c>
      <c r="AB1566" s="313" t="str">
        <f t="shared" si="125"/>
        <v/>
      </c>
      <c r="AC1566" s="170" t="str">
        <f t="shared" si="126"/>
        <v/>
      </c>
      <c r="AD1566" s="170" t="str">
        <f t="shared" si="127"/>
        <v/>
      </c>
    </row>
    <row r="1567" spans="1:30" s="170" customFormat="1" ht="20.399999999999999">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124"/>
        <v/>
      </c>
      <c r="T1567" s="155" t="str">
        <f ca="1">IF(B1567="","",IF(ISERROR(MATCH($J1567,SorP!$B$1:$B$6226,0)),"",INDIRECT("'SorP'!$A$"&amp;MATCH($S1567&amp;$J1567,SorP!C:C,0))))</f>
        <v/>
      </c>
      <c r="U1567" s="168"/>
      <c r="V1567" s="169" t="e">
        <f>IF(C1567="",NA(),MATCH($B1567&amp;$C1567,'Smelter Look-up'!$J:$J,0))</f>
        <v>#N/A</v>
      </c>
      <c r="X1567" s="170">
        <f t="shared" ca="1" si="123"/>
        <v>0</v>
      </c>
      <c r="AB1567" s="313" t="str">
        <f t="shared" si="125"/>
        <v/>
      </c>
      <c r="AC1567" s="170" t="str">
        <f t="shared" si="126"/>
        <v/>
      </c>
      <c r="AD1567" s="170" t="str">
        <f t="shared" si="127"/>
        <v/>
      </c>
    </row>
    <row r="1568" spans="1:30" s="170" customFormat="1" ht="20.399999999999999">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124"/>
        <v/>
      </c>
      <c r="T1568" s="155" t="str">
        <f ca="1">IF(B1568="","",IF(ISERROR(MATCH($J1568,SorP!$B$1:$B$6226,0)),"",INDIRECT("'SorP'!$A$"&amp;MATCH($S1568&amp;$J1568,SorP!C:C,0))))</f>
        <v/>
      </c>
      <c r="U1568" s="168"/>
      <c r="V1568" s="169" t="e">
        <f>IF(C1568="",NA(),MATCH($B1568&amp;$C1568,'Smelter Look-up'!$J:$J,0))</f>
        <v>#N/A</v>
      </c>
      <c r="X1568" s="170">
        <f t="shared" ca="1" si="123"/>
        <v>0</v>
      </c>
      <c r="AB1568" s="313" t="str">
        <f t="shared" si="125"/>
        <v/>
      </c>
      <c r="AC1568" s="170" t="str">
        <f t="shared" si="126"/>
        <v/>
      </c>
      <c r="AD1568" s="170" t="str">
        <f t="shared" si="127"/>
        <v/>
      </c>
    </row>
    <row r="1569" spans="1:30" s="170" customFormat="1" ht="20.399999999999999">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124"/>
        <v/>
      </c>
      <c r="T1569" s="155" t="str">
        <f ca="1">IF(B1569="","",IF(ISERROR(MATCH($J1569,SorP!$B$1:$B$6226,0)),"",INDIRECT("'SorP'!$A$"&amp;MATCH($S1569&amp;$J1569,SorP!C:C,0))))</f>
        <v/>
      </c>
      <c r="U1569" s="168"/>
      <c r="V1569" s="169" t="e">
        <f>IF(C1569="",NA(),MATCH($B1569&amp;$C1569,'Smelter Look-up'!$J:$J,0))</f>
        <v>#N/A</v>
      </c>
      <c r="X1569" s="170">
        <f t="shared" ca="1" si="123"/>
        <v>0</v>
      </c>
      <c r="AB1569" s="313" t="str">
        <f t="shared" si="125"/>
        <v/>
      </c>
      <c r="AC1569" s="170" t="str">
        <f t="shared" si="126"/>
        <v/>
      </c>
      <c r="AD1569" s="170" t="str">
        <f t="shared" si="127"/>
        <v/>
      </c>
    </row>
    <row r="1570" spans="1:30" s="170" customFormat="1" ht="20.399999999999999">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124"/>
        <v/>
      </c>
      <c r="T1570" s="155" t="str">
        <f ca="1">IF(B1570="","",IF(ISERROR(MATCH($J1570,SorP!$B$1:$B$6226,0)),"",INDIRECT("'SorP'!$A$"&amp;MATCH($S1570&amp;$J1570,SorP!C:C,0))))</f>
        <v/>
      </c>
      <c r="U1570" s="168"/>
      <c r="V1570" s="169" t="e">
        <f>IF(C1570="",NA(),MATCH($B1570&amp;$C1570,'Smelter Look-up'!$J:$J,0))</f>
        <v>#N/A</v>
      </c>
      <c r="X1570" s="170">
        <f t="shared" ca="1" si="123"/>
        <v>0</v>
      </c>
      <c r="AB1570" s="313" t="str">
        <f t="shared" si="125"/>
        <v/>
      </c>
      <c r="AC1570" s="170" t="str">
        <f t="shared" si="126"/>
        <v/>
      </c>
      <c r="AD1570" s="170" t="str">
        <f t="shared" si="127"/>
        <v/>
      </c>
    </row>
    <row r="1571" spans="1:30" s="170" customFormat="1" ht="20.399999999999999">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124"/>
        <v/>
      </c>
      <c r="T1571" s="155" t="str">
        <f ca="1">IF(B1571="","",IF(ISERROR(MATCH($J1571,SorP!$B$1:$B$6226,0)),"",INDIRECT("'SorP'!$A$"&amp;MATCH($S1571&amp;$J1571,SorP!C:C,0))))</f>
        <v/>
      </c>
      <c r="U1571" s="168"/>
      <c r="V1571" s="169" t="e">
        <f>IF(C1571="",NA(),MATCH($B1571&amp;$C1571,'Smelter Look-up'!$J:$J,0))</f>
        <v>#N/A</v>
      </c>
      <c r="X1571" s="170">
        <f t="shared" ca="1" si="123"/>
        <v>0</v>
      </c>
      <c r="AB1571" s="313" t="str">
        <f t="shared" si="125"/>
        <v/>
      </c>
      <c r="AC1571" s="170" t="str">
        <f t="shared" si="126"/>
        <v/>
      </c>
      <c r="AD1571" s="170" t="str">
        <f t="shared" si="127"/>
        <v/>
      </c>
    </row>
    <row r="1572" spans="1:30" s="170" customFormat="1" ht="20.399999999999999">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124"/>
        <v/>
      </c>
      <c r="T1572" s="155" t="str">
        <f ca="1">IF(B1572="","",IF(ISERROR(MATCH($J1572,SorP!$B$1:$B$6226,0)),"",INDIRECT("'SorP'!$A$"&amp;MATCH($S1572&amp;$J1572,SorP!C:C,0))))</f>
        <v/>
      </c>
      <c r="U1572" s="168"/>
      <c r="V1572" s="169" t="e">
        <f>IF(C1572="",NA(),MATCH($B1572&amp;$C1572,'Smelter Look-up'!$J:$J,0))</f>
        <v>#N/A</v>
      </c>
      <c r="X1572" s="170">
        <f t="shared" ca="1" si="123"/>
        <v>0</v>
      </c>
      <c r="AB1572" s="313" t="str">
        <f t="shared" si="125"/>
        <v/>
      </c>
      <c r="AC1572" s="170" t="str">
        <f t="shared" si="126"/>
        <v/>
      </c>
      <c r="AD1572" s="170" t="str">
        <f t="shared" si="127"/>
        <v/>
      </c>
    </row>
    <row r="1573" spans="1:30" s="170" customFormat="1" ht="20.399999999999999">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124"/>
        <v/>
      </c>
      <c r="T1573" s="155" t="str">
        <f ca="1">IF(B1573="","",IF(ISERROR(MATCH($J1573,SorP!$B$1:$B$6226,0)),"",INDIRECT("'SorP'!$A$"&amp;MATCH($S1573&amp;$J1573,SorP!C:C,0))))</f>
        <v/>
      </c>
      <c r="U1573" s="168"/>
      <c r="V1573" s="169" t="e">
        <f>IF(C1573="",NA(),MATCH($B1573&amp;$C1573,'Smelter Look-up'!$J:$J,0))</f>
        <v>#N/A</v>
      </c>
      <c r="X1573" s="170">
        <f t="shared" ca="1" si="123"/>
        <v>0</v>
      </c>
      <c r="AB1573" s="313" t="str">
        <f t="shared" si="125"/>
        <v/>
      </c>
      <c r="AC1573" s="170" t="str">
        <f t="shared" si="126"/>
        <v/>
      </c>
      <c r="AD1573" s="170" t="str">
        <f t="shared" si="127"/>
        <v/>
      </c>
    </row>
    <row r="1574" spans="1:30" s="170" customFormat="1" ht="20.399999999999999">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124"/>
        <v/>
      </c>
      <c r="T1574" s="155" t="str">
        <f ca="1">IF(B1574="","",IF(ISERROR(MATCH($J1574,SorP!$B$1:$B$6226,0)),"",INDIRECT("'SorP'!$A$"&amp;MATCH($S1574&amp;$J1574,SorP!C:C,0))))</f>
        <v/>
      </c>
      <c r="U1574" s="168"/>
      <c r="V1574" s="169" t="e">
        <f>IF(C1574="",NA(),MATCH($B1574&amp;$C1574,'Smelter Look-up'!$J:$J,0))</f>
        <v>#N/A</v>
      </c>
      <c r="X1574" s="170">
        <f t="shared" ca="1" si="123"/>
        <v>0</v>
      </c>
      <c r="AB1574" s="313" t="str">
        <f t="shared" si="125"/>
        <v/>
      </c>
      <c r="AC1574" s="170" t="str">
        <f t="shared" si="126"/>
        <v/>
      </c>
      <c r="AD1574" s="170" t="str">
        <f t="shared" si="127"/>
        <v/>
      </c>
    </row>
    <row r="1575" spans="1:30" s="170" customFormat="1" ht="20.399999999999999">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124"/>
        <v/>
      </c>
      <c r="T1575" s="155" t="str">
        <f ca="1">IF(B1575="","",IF(ISERROR(MATCH($J1575,SorP!$B$1:$B$6226,0)),"",INDIRECT("'SorP'!$A$"&amp;MATCH($S1575&amp;$J1575,SorP!C:C,0))))</f>
        <v/>
      </c>
      <c r="U1575" s="168"/>
      <c r="V1575" s="169" t="e">
        <f>IF(C1575="",NA(),MATCH($B1575&amp;$C1575,'Smelter Look-up'!$J:$J,0))</f>
        <v>#N/A</v>
      </c>
      <c r="X1575" s="170">
        <f t="shared" ca="1" si="123"/>
        <v>0</v>
      </c>
      <c r="AB1575" s="313" t="str">
        <f t="shared" si="125"/>
        <v/>
      </c>
      <c r="AC1575" s="170" t="str">
        <f t="shared" si="126"/>
        <v/>
      </c>
      <c r="AD1575" s="170" t="str">
        <f t="shared" si="127"/>
        <v/>
      </c>
    </row>
    <row r="1576" spans="1:30" s="170" customFormat="1" ht="20.399999999999999">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124"/>
        <v/>
      </c>
      <c r="T1576" s="155" t="str">
        <f ca="1">IF(B1576="","",IF(ISERROR(MATCH($J1576,SorP!$B$1:$B$6226,0)),"",INDIRECT("'SorP'!$A$"&amp;MATCH($S1576&amp;$J1576,SorP!C:C,0))))</f>
        <v/>
      </c>
      <c r="U1576" s="168"/>
      <c r="V1576" s="169" t="e">
        <f>IF(C1576="",NA(),MATCH($B1576&amp;$C1576,'Smelter Look-up'!$J:$J,0))</f>
        <v>#N/A</v>
      </c>
      <c r="X1576" s="170">
        <f t="shared" ca="1" si="123"/>
        <v>0</v>
      </c>
      <c r="AB1576" s="313" t="str">
        <f t="shared" si="125"/>
        <v/>
      </c>
      <c r="AC1576" s="170" t="str">
        <f t="shared" si="126"/>
        <v/>
      </c>
      <c r="AD1576" s="170" t="str">
        <f t="shared" si="127"/>
        <v/>
      </c>
    </row>
    <row r="1577" spans="1:30" s="170" customFormat="1" ht="20.399999999999999">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124"/>
        <v/>
      </c>
      <c r="T1577" s="155" t="str">
        <f ca="1">IF(B1577="","",IF(ISERROR(MATCH($J1577,SorP!$B$1:$B$6226,0)),"",INDIRECT("'SorP'!$A$"&amp;MATCH($S1577&amp;$J1577,SorP!C:C,0))))</f>
        <v/>
      </c>
      <c r="U1577" s="168"/>
      <c r="V1577" s="169" t="e">
        <f>IF(C1577="",NA(),MATCH($B1577&amp;$C1577,'Smelter Look-up'!$J:$J,0))</f>
        <v>#N/A</v>
      </c>
      <c r="X1577" s="170">
        <f t="shared" ca="1" si="123"/>
        <v>0</v>
      </c>
      <c r="AB1577" s="313" t="str">
        <f t="shared" si="125"/>
        <v/>
      </c>
      <c r="AC1577" s="170" t="str">
        <f t="shared" si="126"/>
        <v/>
      </c>
      <c r="AD1577" s="170" t="str">
        <f t="shared" si="127"/>
        <v/>
      </c>
    </row>
    <row r="1578" spans="1:30" s="170" customFormat="1" ht="20.399999999999999">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124"/>
        <v/>
      </c>
      <c r="T1578" s="155" t="str">
        <f ca="1">IF(B1578="","",IF(ISERROR(MATCH($J1578,SorP!$B$1:$B$6226,0)),"",INDIRECT("'SorP'!$A$"&amp;MATCH($S1578&amp;$J1578,SorP!C:C,0))))</f>
        <v/>
      </c>
      <c r="U1578" s="168"/>
      <c r="V1578" s="169" t="e">
        <f>IF(C1578="",NA(),MATCH($B1578&amp;$C1578,'Smelter Look-up'!$J:$J,0))</f>
        <v>#N/A</v>
      </c>
      <c r="X1578" s="170">
        <f t="shared" ca="1" si="123"/>
        <v>0</v>
      </c>
      <c r="AB1578" s="313" t="str">
        <f t="shared" si="125"/>
        <v/>
      </c>
      <c r="AC1578" s="170" t="str">
        <f t="shared" si="126"/>
        <v/>
      </c>
      <c r="AD1578" s="170" t="str">
        <f t="shared" si="127"/>
        <v/>
      </c>
    </row>
    <row r="1579" spans="1:30" s="170" customFormat="1" ht="20.399999999999999">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124"/>
        <v/>
      </c>
      <c r="T1579" s="155" t="str">
        <f ca="1">IF(B1579="","",IF(ISERROR(MATCH($J1579,SorP!$B$1:$B$6226,0)),"",INDIRECT("'SorP'!$A$"&amp;MATCH($S1579&amp;$J1579,SorP!C:C,0))))</f>
        <v/>
      </c>
      <c r="U1579" s="168"/>
      <c r="V1579" s="169" t="e">
        <f>IF(C1579="",NA(),MATCH($B1579&amp;$C1579,'Smelter Look-up'!$J:$J,0))</f>
        <v>#N/A</v>
      </c>
      <c r="X1579" s="170">
        <f t="shared" ca="1" si="123"/>
        <v>0</v>
      </c>
      <c r="AB1579" s="313" t="str">
        <f t="shared" si="125"/>
        <v/>
      </c>
      <c r="AC1579" s="170" t="str">
        <f t="shared" si="126"/>
        <v/>
      </c>
      <c r="AD1579" s="170" t="str">
        <f t="shared" si="127"/>
        <v/>
      </c>
    </row>
    <row r="1580" spans="1:30" s="170" customFormat="1" ht="20.399999999999999">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124"/>
        <v/>
      </c>
      <c r="T1580" s="155" t="str">
        <f ca="1">IF(B1580="","",IF(ISERROR(MATCH($J1580,SorP!$B$1:$B$6226,0)),"",INDIRECT("'SorP'!$A$"&amp;MATCH($S1580&amp;$J1580,SorP!C:C,0))))</f>
        <v/>
      </c>
      <c r="U1580" s="168"/>
      <c r="V1580" s="169" t="e">
        <f>IF(C1580="",NA(),MATCH($B1580&amp;$C1580,'Smelter Look-up'!$J:$J,0))</f>
        <v>#N/A</v>
      </c>
      <c r="X1580" s="170">
        <f t="shared" ca="1" si="123"/>
        <v>0</v>
      </c>
      <c r="AB1580" s="313" t="str">
        <f t="shared" si="125"/>
        <v/>
      </c>
      <c r="AC1580" s="170" t="str">
        <f t="shared" si="126"/>
        <v/>
      </c>
      <c r="AD1580" s="170" t="str">
        <f t="shared" si="127"/>
        <v/>
      </c>
    </row>
    <row r="1581" spans="1:30" s="170" customFormat="1" ht="20.399999999999999">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124"/>
        <v/>
      </c>
      <c r="T1581" s="155" t="str">
        <f ca="1">IF(B1581="","",IF(ISERROR(MATCH($J1581,SorP!$B$1:$B$6226,0)),"",INDIRECT("'SorP'!$A$"&amp;MATCH($S1581&amp;$J1581,SorP!C:C,0))))</f>
        <v/>
      </c>
      <c r="U1581" s="168"/>
      <c r="V1581" s="169" t="e">
        <f>IF(C1581="",NA(),MATCH($B1581&amp;$C1581,'Smelter Look-up'!$J:$J,0))</f>
        <v>#N/A</v>
      </c>
      <c r="X1581" s="170">
        <f t="shared" ca="1" si="123"/>
        <v>0</v>
      </c>
      <c r="AB1581" s="313" t="str">
        <f t="shared" si="125"/>
        <v/>
      </c>
      <c r="AC1581" s="170" t="str">
        <f t="shared" si="126"/>
        <v/>
      </c>
      <c r="AD1581" s="170" t="str">
        <f t="shared" si="127"/>
        <v/>
      </c>
    </row>
    <row r="1582" spans="1:30" s="170" customFormat="1" ht="20.399999999999999">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124"/>
        <v/>
      </c>
      <c r="T1582" s="155" t="str">
        <f ca="1">IF(B1582="","",IF(ISERROR(MATCH($J1582,SorP!$B$1:$B$6226,0)),"",INDIRECT("'SorP'!$A$"&amp;MATCH($S1582&amp;$J1582,SorP!C:C,0))))</f>
        <v/>
      </c>
      <c r="U1582" s="168"/>
      <c r="V1582" s="169" t="e">
        <f>IF(C1582="",NA(),MATCH($B1582&amp;$C1582,'Smelter Look-up'!$J:$J,0))</f>
        <v>#N/A</v>
      </c>
      <c r="X1582" s="170">
        <f t="shared" ca="1" si="123"/>
        <v>0</v>
      </c>
      <c r="AB1582" s="313" t="str">
        <f t="shared" si="125"/>
        <v/>
      </c>
      <c r="AC1582" s="170" t="str">
        <f t="shared" si="126"/>
        <v/>
      </c>
      <c r="AD1582" s="170" t="str">
        <f t="shared" si="127"/>
        <v/>
      </c>
    </row>
    <row r="1583" spans="1:30" s="170" customFormat="1" ht="20.399999999999999">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124"/>
        <v/>
      </c>
      <c r="T1583" s="155" t="str">
        <f ca="1">IF(B1583="","",IF(ISERROR(MATCH($J1583,SorP!$B$1:$B$6226,0)),"",INDIRECT("'SorP'!$A$"&amp;MATCH($S1583&amp;$J1583,SorP!C:C,0))))</f>
        <v/>
      </c>
      <c r="U1583" s="168"/>
      <c r="V1583" s="169" t="e">
        <f>IF(C1583="",NA(),MATCH($B1583&amp;$C1583,'Smelter Look-up'!$J:$J,0))</f>
        <v>#N/A</v>
      </c>
      <c r="X1583" s="170">
        <f t="shared" ca="1" si="123"/>
        <v>0</v>
      </c>
      <c r="AB1583" s="313" t="str">
        <f t="shared" si="125"/>
        <v/>
      </c>
      <c r="AC1583" s="170" t="str">
        <f t="shared" si="126"/>
        <v/>
      </c>
      <c r="AD1583" s="170" t="str">
        <f t="shared" si="127"/>
        <v/>
      </c>
    </row>
    <row r="1584" spans="1:30" s="170" customFormat="1" ht="20.399999999999999">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124"/>
        <v/>
      </c>
      <c r="T1584" s="155" t="str">
        <f ca="1">IF(B1584="","",IF(ISERROR(MATCH($J1584,SorP!$B$1:$B$6226,0)),"",INDIRECT("'SorP'!$A$"&amp;MATCH($S1584&amp;$J1584,SorP!C:C,0))))</f>
        <v/>
      </c>
      <c r="U1584" s="168"/>
      <c r="V1584" s="169" t="e">
        <f>IF(C1584="",NA(),MATCH($B1584&amp;$C1584,'Smelter Look-up'!$J:$J,0))</f>
        <v>#N/A</v>
      </c>
      <c r="X1584" s="170">
        <f t="shared" ca="1" si="123"/>
        <v>0</v>
      </c>
      <c r="AB1584" s="313" t="str">
        <f t="shared" si="125"/>
        <v/>
      </c>
      <c r="AC1584" s="170" t="str">
        <f t="shared" si="126"/>
        <v/>
      </c>
      <c r="AD1584" s="170" t="str">
        <f t="shared" si="127"/>
        <v/>
      </c>
    </row>
    <row r="1585" spans="1:30" s="170" customFormat="1" ht="20.399999999999999">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124"/>
        <v/>
      </c>
      <c r="T1585" s="155" t="str">
        <f ca="1">IF(B1585="","",IF(ISERROR(MATCH($J1585,SorP!$B$1:$B$6226,0)),"",INDIRECT("'SorP'!$A$"&amp;MATCH($S1585&amp;$J1585,SorP!C:C,0))))</f>
        <v/>
      </c>
      <c r="U1585" s="168"/>
      <c r="V1585" s="169" t="e">
        <f>IF(C1585="",NA(),MATCH($B1585&amp;$C1585,'Smelter Look-up'!$J:$J,0))</f>
        <v>#N/A</v>
      </c>
      <c r="X1585" s="170">
        <f t="shared" ca="1" si="123"/>
        <v>0</v>
      </c>
      <c r="AB1585" s="313" t="str">
        <f t="shared" si="125"/>
        <v/>
      </c>
      <c r="AC1585" s="170" t="str">
        <f t="shared" si="126"/>
        <v/>
      </c>
      <c r="AD1585" s="170" t="str">
        <f t="shared" si="127"/>
        <v/>
      </c>
    </row>
    <row r="1586" spans="1:30" s="170" customFormat="1" ht="20.399999999999999">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124"/>
        <v/>
      </c>
      <c r="T1586" s="155" t="str">
        <f ca="1">IF(B1586="","",IF(ISERROR(MATCH($J1586,SorP!$B$1:$B$6226,0)),"",INDIRECT("'SorP'!$A$"&amp;MATCH($S1586&amp;$J1586,SorP!C:C,0))))</f>
        <v/>
      </c>
      <c r="U1586" s="168"/>
      <c r="V1586" s="169" t="e">
        <f>IF(C1586="",NA(),MATCH($B1586&amp;$C1586,'Smelter Look-up'!$J:$J,0))</f>
        <v>#N/A</v>
      </c>
      <c r="X1586" s="170">
        <f t="shared" ca="1" si="123"/>
        <v>0</v>
      </c>
      <c r="AB1586" s="313" t="str">
        <f t="shared" si="125"/>
        <v/>
      </c>
      <c r="AC1586" s="170" t="str">
        <f t="shared" si="126"/>
        <v/>
      </c>
      <c r="AD1586" s="170" t="str">
        <f t="shared" si="127"/>
        <v/>
      </c>
    </row>
    <row r="1587" spans="1:30" s="170" customFormat="1" ht="20.399999999999999">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124"/>
        <v/>
      </c>
      <c r="T1587" s="155" t="str">
        <f ca="1">IF(B1587="","",IF(ISERROR(MATCH($J1587,SorP!$B$1:$B$6226,0)),"",INDIRECT("'SorP'!$A$"&amp;MATCH($S1587&amp;$J1587,SorP!C:C,0))))</f>
        <v/>
      </c>
      <c r="U1587" s="168"/>
      <c r="V1587" s="169" t="e">
        <f>IF(C1587="",NA(),MATCH($B1587&amp;$C1587,'Smelter Look-up'!$J:$J,0))</f>
        <v>#N/A</v>
      </c>
      <c r="X1587" s="170">
        <f t="shared" ca="1" si="123"/>
        <v>0</v>
      </c>
      <c r="AB1587" s="313" t="str">
        <f t="shared" si="125"/>
        <v/>
      </c>
      <c r="AC1587" s="170" t="str">
        <f t="shared" si="126"/>
        <v/>
      </c>
      <c r="AD1587" s="170" t="str">
        <f t="shared" si="127"/>
        <v/>
      </c>
    </row>
    <row r="1588" spans="1:30" s="170" customFormat="1" ht="20.399999999999999">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124"/>
        <v/>
      </c>
      <c r="T1588" s="155" t="str">
        <f ca="1">IF(B1588="","",IF(ISERROR(MATCH($J1588,SorP!$B$1:$B$6226,0)),"",INDIRECT("'SorP'!$A$"&amp;MATCH($S1588&amp;$J1588,SorP!C:C,0))))</f>
        <v/>
      </c>
      <c r="U1588" s="168"/>
      <c r="V1588" s="169" t="e">
        <f>IF(C1588="",NA(),MATCH($B1588&amp;$C1588,'Smelter Look-up'!$J:$J,0))</f>
        <v>#N/A</v>
      </c>
      <c r="X1588" s="170">
        <f t="shared" ca="1" si="123"/>
        <v>0</v>
      </c>
      <c r="AB1588" s="313" t="str">
        <f t="shared" si="125"/>
        <v/>
      </c>
      <c r="AC1588" s="170" t="str">
        <f t="shared" si="126"/>
        <v/>
      </c>
      <c r="AD1588" s="170" t="str">
        <f t="shared" si="127"/>
        <v/>
      </c>
    </row>
    <row r="1589" spans="1:30" s="170" customFormat="1" ht="20.399999999999999">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124"/>
        <v/>
      </c>
      <c r="T1589" s="155" t="str">
        <f ca="1">IF(B1589="","",IF(ISERROR(MATCH($J1589,SorP!$B$1:$B$6226,0)),"",INDIRECT("'SorP'!$A$"&amp;MATCH($S1589&amp;$J1589,SorP!C:C,0))))</f>
        <v/>
      </c>
      <c r="U1589" s="168"/>
      <c r="V1589" s="169" t="e">
        <f>IF(C1589="",NA(),MATCH($B1589&amp;$C1589,'Smelter Look-up'!$J:$J,0))</f>
        <v>#N/A</v>
      </c>
      <c r="X1589" s="170">
        <f t="shared" ca="1" si="123"/>
        <v>0</v>
      </c>
      <c r="AB1589" s="313" t="str">
        <f t="shared" si="125"/>
        <v/>
      </c>
      <c r="AC1589" s="170" t="str">
        <f t="shared" si="126"/>
        <v/>
      </c>
      <c r="AD1589" s="170" t="str">
        <f t="shared" si="127"/>
        <v/>
      </c>
    </row>
    <row r="1590" spans="1:30" s="170" customFormat="1" ht="20.399999999999999">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124"/>
        <v/>
      </c>
      <c r="T1590" s="155" t="str">
        <f ca="1">IF(B1590="","",IF(ISERROR(MATCH($J1590,SorP!$B$1:$B$6226,0)),"",INDIRECT("'SorP'!$A$"&amp;MATCH($S1590&amp;$J1590,SorP!C:C,0))))</f>
        <v/>
      </c>
      <c r="U1590" s="168"/>
      <c r="V1590" s="169" t="e">
        <f>IF(C1590="",NA(),MATCH($B1590&amp;$C1590,'Smelter Look-up'!$J:$J,0))</f>
        <v>#N/A</v>
      </c>
      <c r="X1590" s="170">
        <f t="shared" ca="1" si="123"/>
        <v>0</v>
      </c>
      <c r="AB1590" s="313" t="str">
        <f t="shared" si="125"/>
        <v/>
      </c>
      <c r="AC1590" s="170" t="str">
        <f t="shared" si="126"/>
        <v/>
      </c>
      <c r="AD1590" s="170" t="str">
        <f t="shared" si="127"/>
        <v/>
      </c>
    </row>
    <row r="1591" spans="1:30" s="170" customFormat="1" ht="20.399999999999999">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124"/>
        <v/>
      </c>
      <c r="T1591" s="155" t="str">
        <f ca="1">IF(B1591="","",IF(ISERROR(MATCH($J1591,SorP!$B$1:$B$6226,0)),"",INDIRECT("'SorP'!$A$"&amp;MATCH($S1591&amp;$J1591,SorP!C:C,0))))</f>
        <v/>
      </c>
      <c r="U1591" s="168"/>
      <c r="V1591" s="169" t="e">
        <f>IF(C1591="",NA(),MATCH($B1591&amp;$C1591,'Smelter Look-up'!$J:$J,0))</f>
        <v>#N/A</v>
      </c>
      <c r="X1591" s="170">
        <f t="shared" ca="1" si="123"/>
        <v>0</v>
      </c>
      <c r="AB1591" s="313" t="str">
        <f t="shared" si="125"/>
        <v/>
      </c>
      <c r="AC1591" s="170" t="str">
        <f t="shared" si="126"/>
        <v/>
      </c>
      <c r="AD1591" s="170" t="str">
        <f t="shared" si="127"/>
        <v/>
      </c>
    </row>
    <row r="1592" spans="1:30" s="170" customFormat="1" ht="20.399999999999999">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124"/>
        <v/>
      </c>
      <c r="T1592" s="155" t="str">
        <f ca="1">IF(B1592="","",IF(ISERROR(MATCH($J1592,SorP!$B$1:$B$6226,0)),"",INDIRECT("'SorP'!$A$"&amp;MATCH($S1592&amp;$J1592,SorP!C:C,0))))</f>
        <v/>
      </c>
      <c r="U1592" s="168"/>
      <c r="V1592" s="169" t="e">
        <f>IF(C1592="",NA(),MATCH($B1592&amp;$C1592,'Smelter Look-up'!$J:$J,0))</f>
        <v>#N/A</v>
      </c>
      <c r="X1592" s="170">
        <f t="shared" ca="1" si="123"/>
        <v>0</v>
      </c>
      <c r="AB1592" s="313" t="str">
        <f t="shared" si="125"/>
        <v/>
      </c>
      <c r="AC1592" s="170" t="str">
        <f t="shared" si="126"/>
        <v/>
      </c>
      <c r="AD1592" s="170" t="str">
        <f t="shared" si="127"/>
        <v/>
      </c>
    </row>
    <row r="1593" spans="1:30" s="170" customFormat="1" ht="20.399999999999999">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124"/>
        <v/>
      </c>
      <c r="T1593" s="155" t="str">
        <f ca="1">IF(B1593="","",IF(ISERROR(MATCH($J1593,SorP!$B$1:$B$6226,0)),"",INDIRECT("'SorP'!$A$"&amp;MATCH($S1593&amp;$J1593,SorP!C:C,0))))</f>
        <v/>
      </c>
      <c r="U1593" s="168"/>
      <c r="V1593" s="169" t="e">
        <f>IF(C1593="",NA(),MATCH($B1593&amp;$C1593,'Smelter Look-up'!$J:$J,0))</f>
        <v>#N/A</v>
      </c>
      <c r="X1593" s="170">
        <f t="shared" ca="1" si="123"/>
        <v>0</v>
      </c>
      <c r="AB1593" s="313" t="str">
        <f t="shared" si="125"/>
        <v/>
      </c>
      <c r="AC1593" s="170" t="str">
        <f t="shared" si="126"/>
        <v/>
      </c>
      <c r="AD1593" s="170" t="str">
        <f t="shared" si="127"/>
        <v/>
      </c>
    </row>
    <row r="1594" spans="1:30" s="170" customFormat="1" ht="20.399999999999999">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124"/>
        <v/>
      </c>
      <c r="T1594" s="155" t="str">
        <f ca="1">IF(B1594="","",IF(ISERROR(MATCH($J1594,SorP!$B$1:$B$6226,0)),"",INDIRECT("'SorP'!$A$"&amp;MATCH($S1594&amp;$J1594,SorP!C:C,0))))</f>
        <v/>
      </c>
      <c r="U1594" s="168"/>
      <c r="V1594" s="169" t="e">
        <f>IF(C1594="",NA(),MATCH($B1594&amp;$C1594,'Smelter Look-up'!$J:$J,0))</f>
        <v>#N/A</v>
      </c>
      <c r="X1594" s="170">
        <f t="shared" ca="1" si="123"/>
        <v>0</v>
      </c>
      <c r="AB1594" s="313" t="str">
        <f t="shared" si="125"/>
        <v/>
      </c>
      <c r="AC1594" s="170" t="str">
        <f t="shared" si="126"/>
        <v/>
      </c>
      <c r="AD1594" s="170" t="str">
        <f t="shared" si="127"/>
        <v/>
      </c>
    </row>
    <row r="1595" spans="1:30" s="170" customFormat="1" ht="20.399999999999999">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124"/>
        <v/>
      </c>
      <c r="T1595" s="155" t="str">
        <f ca="1">IF(B1595="","",IF(ISERROR(MATCH($J1595,SorP!$B$1:$B$6226,0)),"",INDIRECT("'SorP'!$A$"&amp;MATCH($S1595&amp;$J1595,SorP!C:C,0))))</f>
        <v/>
      </c>
      <c r="U1595" s="168"/>
      <c r="V1595" s="169" t="e">
        <f>IF(C1595="",NA(),MATCH($B1595&amp;$C1595,'Smelter Look-up'!$J:$J,0))</f>
        <v>#N/A</v>
      </c>
      <c r="X1595" s="170">
        <f t="shared" ca="1" si="123"/>
        <v>0</v>
      </c>
      <c r="AB1595" s="313" t="str">
        <f t="shared" si="125"/>
        <v/>
      </c>
      <c r="AC1595" s="170" t="str">
        <f t="shared" si="126"/>
        <v/>
      </c>
      <c r="AD1595" s="170" t="str">
        <f t="shared" si="127"/>
        <v/>
      </c>
    </row>
    <row r="1596" spans="1:30" s="170" customFormat="1" ht="20.399999999999999">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124"/>
        <v/>
      </c>
      <c r="T1596" s="155" t="str">
        <f ca="1">IF(B1596="","",IF(ISERROR(MATCH($J1596,SorP!$B$1:$B$6226,0)),"",INDIRECT("'SorP'!$A$"&amp;MATCH($S1596&amp;$J1596,SorP!C:C,0))))</f>
        <v/>
      </c>
      <c r="U1596" s="168"/>
      <c r="V1596" s="169" t="e">
        <f>IF(C1596="",NA(),MATCH($B1596&amp;$C1596,'Smelter Look-up'!$J:$J,0))</f>
        <v>#N/A</v>
      </c>
      <c r="X1596" s="170">
        <f t="shared" ca="1" si="123"/>
        <v>0</v>
      </c>
      <c r="AB1596" s="313" t="str">
        <f t="shared" si="125"/>
        <v/>
      </c>
      <c r="AC1596" s="170" t="str">
        <f t="shared" si="126"/>
        <v/>
      </c>
      <c r="AD1596" s="170" t="str">
        <f t="shared" si="127"/>
        <v/>
      </c>
    </row>
    <row r="1597" spans="1:30" s="170" customFormat="1" ht="20.399999999999999">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124"/>
        <v/>
      </c>
      <c r="T1597" s="155" t="str">
        <f ca="1">IF(B1597="","",IF(ISERROR(MATCH($J1597,SorP!$B$1:$B$6226,0)),"",INDIRECT("'SorP'!$A$"&amp;MATCH($S1597&amp;$J1597,SorP!C:C,0))))</f>
        <v/>
      </c>
      <c r="U1597" s="168"/>
      <c r="V1597" s="169" t="e">
        <f>IF(C1597="",NA(),MATCH($B1597&amp;$C1597,'Smelter Look-up'!$J:$J,0))</f>
        <v>#N/A</v>
      </c>
      <c r="X1597" s="170">
        <f t="shared" ca="1" si="123"/>
        <v>0</v>
      </c>
      <c r="AB1597" s="313" t="str">
        <f t="shared" si="125"/>
        <v/>
      </c>
      <c r="AC1597" s="170" t="str">
        <f t="shared" si="126"/>
        <v/>
      </c>
      <c r="AD1597" s="170" t="str">
        <f t="shared" si="127"/>
        <v/>
      </c>
    </row>
    <row r="1598" spans="1:30" s="170" customFormat="1" ht="20.399999999999999">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124"/>
        <v/>
      </c>
      <c r="T1598" s="155" t="str">
        <f ca="1">IF(B1598="","",IF(ISERROR(MATCH($J1598,SorP!$B$1:$B$6226,0)),"",INDIRECT("'SorP'!$A$"&amp;MATCH($S1598&amp;$J1598,SorP!C:C,0))))</f>
        <v/>
      </c>
      <c r="U1598" s="168"/>
      <c r="V1598" s="169" t="e">
        <f>IF(C1598="",NA(),MATCH($B1598&amp;$C1598,'Smelter Look-up'!$J:$J,0))</f>
        <v>#N/A</v>
      </c>
      <c r="X1598" s="170">
        <f t="shared" ca="1" si="123"/>
        <v>0</v>
      </c>
      <c r="AB1598" s="313" t="str">
        <f t="shared" si="125"/>
        <v/>
      </c>
      <c r="AC1598" s="170" t="str">
        <f t="shared" si="126"/>
        <v/>
      </c>
      <c r="AD1598" s="170" t="str">
        <f t="shared" si="127"/>
        <v/>
      </c>
    </row>
    <row r="1599" spans="1:30" s="170" customFormat="1" ht="20.399999999999999">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124"/>
        <v/>
      </c>
      <c r="T1599" s="155" t="str">
        <f ca="1">IF(B1599="","",IF(ISERROR(MATCH($J1599,SorP!$B$1:$B$6226,0)),"",INDIRECT("'SorP'!$A$"&amp;MATCH($S1599&amp;$J1599,SorP!C:C,0))))</f>
        <v/>
      </c>
      <c r="U1599" s="168"/>
      <c r="V1599" s="169" t="e">
        <f>IF(C1599="",NA(),MATCH($B1599&amp;$C1599,'Smelter Look-up'!$J:$J,0))</f>
        <v>#N/A</v>
      </c>
      <c r="X1599" s="170">
        <f t="shared" ref="X1599:X1662" ca="1" si="128">IF(AND(C1599="Smelter not listed",OR(LEN(D1599)=0,LEN(E1599)=0)),1,0)</f>
        <v>0</v>
      </c>
      <c r="AB1599" s="313" t="str">
        <f t="shared" si="125"/>
        <v/>
      </c>
      <c r="AC1599" s="170" t="str">
        <f t="shared" si="126"/>
        <v/>
      </c>
      <c r="AD1599" s="170" t="str">
        <f t="shared" si="127"/>
        <v/>
      </c>
    </row>
    <row r="1600" spans="1:30" s="170" customFormat="1" ht="20.399999999999999">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ref="S1600:S1663" ca="1" si="12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128"/>
        <v>0</v>
      </c>
      <c r="AB1600" s="313" t="str">
        <f t="shared" si="125"/>
        <v/>
      </c>
      <c r="AC1600" s="170" t="str">
        <f t="shared" si="126"/>
        <v/>
      </c>
      <c r="AD1600" s="170" t="str">
        <f t="shared" si="127"/>
        <v/>
      </c>
    </row>
    <row r="1601" spans="1:30" s="170" customFormat="1" ht="20.399999999999999">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129"/>
        <v/>
      </c>
      <c r="T1601" s="155" t="str">
        <f ca="1">IF(B1601="","",IF(ISERROR(MATCH($J1601,SorP!$B$1:$B$6226,0)),"",INDIRECT("'SorP'!$A$"&amp;MATCH($S1601&amp;$J1601,SorP!C:C,0))))</f>
        <v/>
      </c>
      <c r="U1601" s="168"/>
      <c r="V1601" s="169" t="e">
        <f>IF(C1601="",NA(),MATCH($B1601&amp;$C1601,'Smelter Look-up'!$J:$J,0))</f>
        <v>#N/A</v>
      </c>
      <c r="X1601" s="170">
        <f t="shared" ca="1" si="128"/>
        <v>0</v>
      </c>
      <c r="AB1601" s="313" t="str">
        <f t="shared" si="125"/>
        <v/>
      </c>
      <c r="AC1601" s="170" t="str">
        <f t="shared" si="126"/>
        <v/>
      </c>
      <c r="AD1601" s="170" t="str">
        <f t="shared" si="127"/>
        <v/>
      </c>
    </row>
    <row r="1602" spans="1:30" s="170" customFormat="1" ht="20.399999999999999">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129"/>
        <v/>
      </c>
      <c r="T1602" s="155" t="str">
        <f ca="1">IF(B1602="","",IF(ISERROR(MATCH($J1602,SorP!$B$1:$B$6226,0)),"",INDIRECT("'SorP'!$A$"&amp;MATCH($S1602&amp;$J1602,SorP!C:C,0))))</f>
        <v/>
      </c>
      <c r="U1602" s="168"/>
      <c r="V1602" s="169" t="e">
        <f>IF(C1602="",NA(),MATCH($B1602&amp;$C1602,'Smelter Look-up'!$J:$J,0))</f>
        <v>#N/A</v>
      </c>
      <c r="X1602" s="170">
        <f t="shared" ca="1" si="128"/>
        <v>0</v>
      </c>
      <c r="AB1602" s="313" t="str">
        <f t="shared" si="125"/>
        <v/>
      </c>
      <c r="AC1602" s="170" t="str">
        <f t="shared" si="126"/>
        <v/>
      </c>
      <c r="AD1602" s="170" t="str">
        <f t="shared" si="127"/>
        <v/>
      </c>
    </row>
    <row r="1603" spans="1:30" s="170" customFormat="1" ht="20.399999999999999">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129"/>
        <v/>
      </c>
      <c r="T1603" s="155" t="str">
        <f ca="1">IF(B1603="","",IF(ISERROR(MATCH($J1603,SorP!$B$1:$B$6226,0)),"",INDIRECT("'SorP'!$A$"&amp;MATCH($S1603&amp;$J1603,SorP!C:C,0))))</f>
        <v/>
      </c>
      <c r="U1603" s="168"/>
      <c r="V1603" s="169" t="e">
        <f>IF(C1603="",NA(),MATCH($B1603&amp;$C1603,'Smelter Look-up'!$J:$J,0))</f>
        <v>#N/A</v>
      </c>
      <c r="X1603" s="170">
        <f t="shared" ca="1" si="128"/>
        <v>0</v>
      </c>
      <c r="AB1603" s="313" t="str">
        <f t="shared" si="125"/>
        <v/>
      </c>
      <c r="AC1603" s="170" t="str">
        <f t="shared" si="126"/>
        <v/>
      </c>
      <c r="AD1603" s="170" t="str">
        <f t="shared" si="127"/>
        <v/>
      </c>
    </row>
    <row r="1604" spans="1:30" s="170" customFormat="1" ht="20.399999999999999">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129"/>
        <v/>
      </c>
      <c r="T1604" s="155" t="str">
        <f ca="1">IF(B1604="","",IF(ISERROR(MATCH($J1604,SorP!$B$1:$B$6226,0)),"",INDIRECT("'SorP'!$A$"&amp;MATCH($S1604&amp;$J1604,SorP!C:C,0))))</f>
        <v/>
      </c>
      <c r="U1604" s="168"/>
      <c r="V1604" s="169" t="e">
        <f>IF(C1604="",NA(),MATCH($B1604&amp;$C1604,'Smelter Look-up'!$J:$J,0))</f>
        <v>#N/A</v>
      </c>
      <c r="X1604" s="170">
        <f t="shared" ca="1" si="128"/>
        <v>0</v>
      </c>
      <c r="AB1604" s="313" t="str">
        <f t="shared" si="125"/>
        <v/>
      </c>
      <c r="AC1604" s="170" t="str">
        <f t="shared" si="126"/>
        <v/>
      </c>
      <c r="AD1604" s="170" t="str">
        <f t="shared" si="127"/>
        <v/>
      </c>
    </row>
    <row r="1605" spans="1:30" s="170" customFormat="1" ht="20.399999999999999">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129"/>
        <v/>
      </c>
      <c r="T1605" s="155" t="str">
        <f ca="1">IF(B1605="","",IF(ISERROR(MATCH($J1605,SorP!$B$1:$B$6226,0)),"",INDIRECT("'SorP'!$A$"&amp;MATCH($S1605&amp;$J1605,SorP!C:C,0))))</f>
        <v/>
      </c>
      <c r="U1605" s="168"/>
      <c r="V1605" s="169" t="e">
        <f>IF(C1605="",NA(),MATCH($B1605&amp;$C1605,'Smelter Look-up'!$J:$J,0))</f>
        <v>#N/A</v>
      </c>
      <c r="X1605" s="170">
        <f t="shared" ca="1" si="128"/>
        <v>0</v>
      </c>
      <c r="AB1605" s="313" t="str">
        <f t="shared" si="125"/>
        <v/>
      </c>
      <c r="AC1605" s="170" t="str">
        <f t="shared" si="126"/>
        <v/>
      </c>
      <c r="AD1605" s="170" t="str">
        <f t="shared" si="127"/>
        <v/>
      </c>
    </row>
    <row r="1606" spans="1:30" s="170" customFormat="1" ht="20.399999999999999">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129"/>
        <v/>
      </c>
      <c r="T1606" s="155" t="str">
        <f ca="1">IF(B1606="","",IF(ISERROR(MATCH($J1606,SorP!$B$1:$B$6226,0)),"",INDIRECT("'SorP'!$A$"&amp;MATCH($S1606&amp;$J1606,SorP!C:C,0))))</f>
        <v/>
      </c>
      <c r="U1606" s="168"/>
      <c r="V1606" s="169" t="e">
        <f>IF(C1606="",NA(),MATCH($B1606&amp;$C1606,'Smelter Look-up'!$J:$J,0))</f>
        <v>#N/A</v>
      </c>
      <c r="X1606" s="170">
        <f t="shared" ca="1" si="128"/>
        <v>0</v>
      </c>
      <c r="AB1606" s="313" t="str">
        <f t="shared" ref="AB1606:AB1669" si="130">IF(C1606="","",B1606)</f>
        <v/>
      </c>
      <c r="AC1606" s="170" t="str">
        <f t="shared" ref="AC1606:AC1669" si="131">B1606</f>
        <v/>
      </c>
      <c r="AD1606" s="170" t="str">
        <f t="shared" ref="AD1606:AD1669" si="132">IF(C1606="Smelter not listed",D1606,C1606)</f>
        <v/>
      </c>
    </row>
    <row r="1607" spans="1:30" s="170" customFormat="1" ht="20.399999999999999">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129"/>
        <v/>
      </c>
      <c r="T1607" s="155" t="str">
        <f ca="1">IF(B1607="","",IF(ISERROR(MATCH($J1607,SorP!$B$1:$B$6226,0)),"",INDIRECT("'SorP'!$A$"&amp;MATCH($S1607&amp;$J1607,SorP!C:C,0))))</f>
        <v/>
      </c>
      <c r="U1607" s="168"/>
      <c r="V1607" s="169" t="e">
        <f>IF(C1607="",NA(),MATCH($B1607&amp;$C1607,'Smelter Look-up'!$J:$J,0))</f>
        <v>#N/A</v>
      </c>
      <c r="X1607" s="170">
        <f t="shared" ca="1" si="128"/>
        <v>0</v>
      </c>
      <c r="AB1607" s="313" t="str">
        <f t="shared" si="130"/>
        <v/>
      </c>
      <c r="AC1607" s="170" t="str">
        <f t="shared" si="131"/>
        <v/>
      </c>
      <c r="AD1607" s="170" t="str">
        <f t="shared" si="132"/>
        <v/>
      </c>
    </row>
    <row r="1608" spans="1:30" s="170" customFormat="1" ht="20.399999999999999">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129"/>
        <v/>
      </c>
      <c r="T1608" s="155" t="str">
        <f ca="1">IF(B1608="","",IF(ISERROR(MATCH($J1608,SorP!$B$1:$B$6226,0)),"",INDIRECT("'SorP'!$A$"&amp;MATCH($S1608&amp;$J1608,SorP!C:C,0))))</f>
        <v/>
      </c>
      <c r="U1608" s="168"/>
      <c r="V1608" s="169" t="e">
        <f>IF(C1608="",NA(),MATCH($B1608&amp;$C1608,'Smelter Look-up'!$J:$J,0))</f>
        <v>#N/A</v>
      </c>
      <c r="X1608" s="170">
        <f t="shared" ca="1" si="128"/>
        <v>0</v>
      </c>
      <c r="AB1608" s="313" t="str">
        <f t="shared" si="130"/>
        <v/>
      </c>
      <c r="AC1608" s="170" t="str">
        <f t="shared" si="131"/>
        <v/>
      </c>
      <c r="AD1608" s="170" t="str">
        <f t="shared" si="132"/>
        <v/>
      </c>
    </row>
    <row r="1609" spans="1:30" s="170" customFormat="1" ht="20.399999999999999">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129"/>
        <v/>
      </c>
      <c r="T1609" s="155" t="str">
        <f ca="1">IF(B1609="","",IF(ISERROR(MATCH($J1609,SorP!$B$1:$B$6226,0)),"",INDIRECT("'SorP'!$A$"&amp;MATCH($S1609&amp;$J1609,SorP!C:C,0))))</f>
        <v/>
      </c>
      <c r="U1609" s="168"/>
      <c r="V1609" s="169" t="e">
        <f>IF(C1609="",NA(),MATCH($B1609&amp;$C1609,'Smelter Look-up'!$J:$J,0))</f>
        <v>#N/A</v>
      </c>
      <c r="X1609" s="170">
        <f t="shared" ca="1" si="128"/>
        <v>0</v>
      </c>
      <c r="AB1609" s="313" t="str">
        <f t="shared" si="130"/>
        <v/>
      </c>
      <c r="AC1609" s="170" t="str">
        <f t="shared" si="131"/>
        <v/>
      </c>
      <c r="AD1609" s="170" t="str">
        <f t="shared" si="132"/>
        <v/>
      </c>
    </row>
    <row r="1610" spans="1:30" s="170" customFormat="1" ht="20.399999999999999">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129"/>
        <v/>
      </c>
      <c r="T1610" s="155" t="str">
        <f ca="1">IF(B1610="","",IF(ISERROR(MATCH($J1610,SorP!$B$1:$B$6226,0)),"",INDIRECT("'SorP'!$A$"&amp;MATCH($S1610&amp;$J1610,SorP!C:C,0))))</f>
        <v/>
      </c>
      <c r="U1610" s="168"/>
      <c r="V1610" s="169" t="e">
        <f>IF(C1610="",NA(),MATCH($B1610&amp;$C1610,'Smelter Look-up'!$J:$J,0))</f>
        <v>#N/A</v>
      </c>
      <c r="X1610" s="170">
        <f t="shared" ca="1" si="128"/>
        <v>0</v>
      </c>
      <c r="AB1610" s="313" t="str">
        <f t="shared" si="130"/>
        <v/>
      </c>
      <c r="AC1610" s="170" t="str">
        <f t="shared" si="131"/>
        <v/>
      </c>
      <c r="AD1610" s="170" t="str">
        <f t="shared" si="132"/>
        <v/>
      </c>
    </row>
    <row r="1611" spans="1:30" s="170" customFormat="1" ht="20.399999999999999">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129"/>
        <v/>
      </c>
      <c r="T1611" s="155" t="str">
        <f ca="1">IF(B1611="","",IF(ISERROR(MATCH($J1611,SorP!$B$1:$B$6226,0)),"",INDIRECT("'SorP'!$A$"&amp;MATCH($S1611&amp;$J1611,SorP!C:C,0))))</f>
        <v/>
      </c>
      <c r="U1611" s="168"/>
      <c r="V1611" s="169" t="e">
        <f>IF(C1611="",NA(),MATCH($B1611&amp;$C1611,'Smelter Look-up'!$J:$J,0))</f>
        <v>#N/A</v>
      </c>
      <c r="X1611" s="170">
        <f t="shared" ca="1" si="128"/>
        <v>0</v>
      </c>
      <c r="AB1611" s="313" t="str">
        <f t="shared" si="130"/>
        <v/>
      </c>
      <c r="AC1611" s="170" t="str">
        <f t="shared" si="131"/>
        <v/>
      </c>
      <c r="AD1611" s="170" t="str">
        <f t="shared" si="132"/>
        <v/>
      </c>
    </row>
    <row r="1612" spans="1:30" s="170" customFormat="1" ht="20.399999999999999">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129"/>
        <v/>
      </c>
      <c r="T1612" s="155" t="str">
        <f ca="1">IF(B1612="","",IF(ISERROR(MATCH($J1612,SorP!$B$1:$B$6226,0)),"",INDIRECT("'SorP'!$A$"&amp;MATCH($S1612&amp;$J1612,SorP!C:C,0))))</f>
        <v/>
      </c>
      <c r="U1612" s="168"/>
      <c r="V1612" s="169" t="e">
        <f>IF(C1612="",NA(),MATCH($B1612&amp;$C1612,'Smelter Look-up'!$J:$J,0))</f>
        <v>#N/A</v>
      </c>
      <c r="X1612" s="170">
        <f t="shared" ca="1" si="128"/>
        <v>0</v>
      </c>
      <c r="AB1612" s="313" t="str">
        <f t="shared" si="130"/>
        <v/>
      </c>
      <c r="AC1612" s="170" t="str">
        <f t="shared" si="131"/>
        <v/>
      </c>
      <c r="AD1612" s="170" t="str">
        <f t="shared" si="132"/>
        <v/>
      </c>
    </row>
    <row r="1613" spans="1:30" s="170" customFormat="1" ht="20.399999999999999">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129"/>
        <v/>
      </c>
      <c r="T1613" s="155" t="str">
        <f ca="1">IF(B1613="","",IF(ISERROR(MATCH($J1613,SorP!$B$1:$B$6226,0)),"",INDIRECT("'SorP'!$A$"&amp;MATCH($S1613&amp;$J1613,SorP!C:C,0))))</f>
        <v/>
      </c>
      <c r="U1613" s="168"/>
      <c r="V1613" s="169" t="e">
        <f>IF(C1613="",NA(),MATCH($B1613&amp;$C1613,'Smelter Look-up'!$J:$J,0))</f>
        <v>#N/A</v>
      </c>
      <c r="X1613" s="170">
        <f t="shared" ca="1" si="128"/>
        <v>0</v>
      </c>
      <c r="AB1613" s="313" t="str">
        <f t="shared" si="130"/>
        <v/>
      </c>
      <c r="AC1613" s="170" t="str">
        <f t="shared" si="131"/>
        <v/>
      </c>
      <c r="AD1613" s="170" t="str">
        <f t="shared" si="132"/>
        <v/>
      </c>
    </row>
    <row r="1614" spans="1:30" s="170" customFormat="1" ht="20.399999999999999">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129"/>
        <v/>
      </c>
      <c r="T1614" s="155" t="str">
        <f ca="1">IF(B1614="","",IF(ISERROR(MATCH($J1614,SorP!$B$1:$B$6226,0)),"",INDIRECT("'SorP'!$A$"&amp;MATCH($S1614&amp;$J1614,SorP!C:C,0))))</f>
        <v/>
      </c>
      <c r="U1614" s="168"/>
      <c r="V1614" s="169" t="e">
        <f>IF(C1614="",NA(),MATCH($B1614&amp;$C1614,'Smelter Look-up'!$J:$J,0))</f>
        <v>#N/A</v>
      </c>
      <c r="X1614" s="170">
        <f t="shared" ca="1" si="128"/>
        <v>0</v>
      </c>
      <c r="AB1614" s="313" t="str">
        <f t="shared" si="130"/>
        <v/>
      </c>
      <c r="AC1614" s="170" t="str">
        <f t="shared" si="131"/>
        <v/>
      </c>
      <c r="AD1614" s="170" t="str">
        <f t="shared" si="132"/>
        <v/>
      </c>
    </row>
    <row r="1615" spans="1:30" s="170" customFormat="1" ht="20.399999999999999">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129"/>
        <v/>
      </c>
      <c r="T1615" s="155" t="str">
        <f ca="1">IF(B1615="","",IF(ISERROR(MATCH($J1615,SorP!$B$1:$B$6226,0)),"",INDIRECT("'SorP'!$A$"&amp;MATCH($S1615&amp;$J1615,SorP!C:C,0))))</f>
        <v/>
      </c>
      <c r="U1615" s="168"/>
      <c r="V1615" s="169" t="e">
        <f>IF(C1615="",NA(),MATCH($B1615&amp;$C1615,'Smelter Look-up'!$J:$J,0))</f>
        <v>#N/A</v>
      </c>
      <c r="X1615" s="170">
        <f t="shared" ca="1" si="128"/>
        <v>0</v>
      </c>
      <c r="AB1615" s="313" t="str">
        <f t="shared" si="130"/>
        <v/>
      </c>
      <c r="AC1615" s="170" t="str">
        <f t="shared" si="131"/>
        <v/>
      </c>
      <c r="AD1615" s="170" t="str">
        <f t="shared" si="132"/>
        <v/>
      </c>
    </row>
    <row r="1616" spans="1:30" s="170" customFormat="1" ht="20.399999999999999">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129"/>
        <v/>
      </c>
      <c r="T1616" s="155" t="str">
        <f ca="1">IF(B1616="","",IF(ISERROR(MATCH($J1616,SorP!$B$1:$B$6226,0)),"",INDIRECT("'SorP'!$A$"&amp;MATCH($S1616&amp;$J1616,SorP!C:C,0))))</f>
        <v/>
      </c>
      <c r="U1616" s="168"/>
      <c r="V1616" s="169" t="e">
        <f>IF(C1616="",NA(),MATCH($B1616&amp;$C1616,'Smelter Look-up'!$J:$J,0))</f>
        <v>#N/A</v>
      </c>
      <c r="X1616" s="170">
        <f t="shared" ca="1" si="128"/>
        <v>0</v>
      </c>
      <c r="AB1616" s="313" t="str">
        <f t="shared" si="130"/>
        <v/>
      </c>
      <c r="AC1616" s="170" t="str">
        <f t="shared" si="131"/>
        <v/>
      </c>
      <c r="AD1616" s="170" t="str">
        <f t="shared" si="132"/>
        <v/>
      </c>
    </row>
    <row r="1617" spans="1:30" s="170" customFormat="1" ht="20.399999999999999">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129"/>
        <v/>
      </c>
      <c r="T1617" s="155" t="str">
        <f ca="1">IF(B1617="","",IF(ISERROR(MATCH($J1617,SorP!$B$1:$B$6226,0)),"",INDIRECT("'SorP'!$A$"&amp;MATCH($S1617&amp;$J1617,SorP!C:C,0))))</f>
        <v/>
      </c>
      <c r="U1617" s="168"/>
      <c r="V1617" s="169" t="e">
        <f>IF(C1617="",NA(),MATCH($B1617&amp;$C1617,'Smelter Look-up'!$J:$J,0))</f>
        <v>#N/A</v>
      </c>
      <c r="X1617" s="170">
        <f t="shared" ca="1" si="128"/>
        <v>0</v>
      </c>
      <c r="AB1617" s="313" t="str">
        <f t="shared" si="130"/>
        <v/>
      </c>
      <c r="AC1617" s="170" t="str">
        <f t="shared" si="131"/>
        <v/>
      </c>
      <c r="AD1617" s="170" t="str">
        <f t="shared" si="132"/>
        <v/>
      </c>
    </row>
    <row r="1618" spans="1:30" s="170" customFormat="1" ht="20.399999999999999">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129"/>
        <v/>
      </c>
      <c r="T1618" s="155" t="str">
        <f ca="1">IF(B1618="","",IF(ISERROR(MATCH($J1618,SorP!$B$1:$B$6226,0)),"",INDIRECT("'SorP'!$A$"&amp;MATCH($S1618&amp;$J1618,SorP!C:C,0))))</f>
        <v/>
      </c>
      <c r="U1618" s="168"/>
      <c r="V1618" s="169" t="e">
        <f>IF(C1618="",NA(),MATCH($B1618&amp;$C1618,'Smelter Look-up'!$J:$J,0))</f>
        <v>#N/A</v>
      </c>
      <c r="X1618" s="170">
        <f t="shared" ca="1" si="128"/>
        <v>0</v>
      </c>
      <c r="AB1618" s="313" t="str">
        <f t="shared" si="130"/>
        <v/>
      </c>
      <c r="AC1618" s="170" t="str">
        <f t="shared" si="131"/>
        <v/>
      </c>
      <c r="AD1618" s="170" t="str">
        <f t="shared" si="132"/>
        <v/>
      </c>
    </row>
    <row r="1619" spans="1:30" s="170" customFormat="1" ht="20.399999999999999">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129"/>
        <v/>
      </c>
      <c r="T1619" s="155" t="str">
        <f ca="1">IF(B1619="","",IF(ISERROR(MATCH($J1619,SorP!$B$1:$B$6226,0)),"",INDIRECT("'SorP'!$A$"&amp;MATCH($S1619&amp;$J1619,SorP!C:C,0))))</f>
        <v/>
      </c>
      <c r="U1619" s="168"/>
      <c r="V1619" s="169" t="e">
        <f>IF(C1619="",NA(),MATCH($B1619&amp;$C1619,'Smelter Look-up'!$J:$J,0))</f>
        <v>#N/A</v>
      </c>
      <c r="X1619" s="170">
        <f t="shared" ca="1" si="128"/>
        <v>0</v>
      </c>
      <c r="AB1619" s="313" t="str">
        <f t="shared" si="130"/>
        <v/>
      </c>
      <c r="AC1619" s="170" t="str">
        <f t="shared" si="131"/>
        <v/>
      </c>
      <c r="AD1619" s="170" t="str">
        <f t="shared" si="132"/>
        <v/>
      </c>
    </row>
    <row r="1620" spans="1:30" s="170" customFormat="1" ht="20.399999999999999">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129"/>
        <v/>
      </c>
      <c r="T1620" s="155" t="str">
        <f ca="1">IF(B1620="","",IF(ISERROR(MATCH($J1620,SorP!$B$1:$B$6226,0)),"",INDIRECT("'SorP'!$A$"&amp;MATCH($S1620&amp;$J1620,SorP!C:C,0))))</f>
        <v/>
      </c>
      <c r="U1620" s="168"/>
      <c r="V1620" s="169" t="e">
        <f>IF(C1620="",NA(),MATCH($B1620&amp;$C1620,'Smelter Look-up'!$J:$J,0))</f>
        <v>#N/A</v>
      </c>
      <c r="X1620" s="170">
        <f t="shared" ca="1" si="128"/>
        <v>0</v>
      </c>
      <c r="AB1620" s="313" t="str">
        <f t="shared" si="130"/>
        <v/>
      </c>
      <c r="AC1620" s="170" t="str">
        <f t="shared" si="131"/>
        <v/>
      </c>
      <c r="AD1620" s="170" t="str">
        <f t="shared" si="132"/>
        <v/>
      </c>
    </row>
    <row r="1621" spans="1:30" s="170" customFormat="1" ht="20.399999999999999">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129"/>
        <v/>
      </c>
      <c r="T1621" s="155" t="str">
        <f ca="1">IF(B1621="","",IF(ISERROR(MATCH($J1621,SorP!$B$1:$B$6226,0)),"",INDIRECT("'SorP'!$A$"&amp;MATCH($S1621&amp;$J1621,SorP!C:C,0))))</f>
        <v/>
      </c>
      <c r="U1621" s="168"/>
      <c r="V1621" s="169" t="e">
        <f>IF(C1621="",NA(),MATCH($B1621&amp;$C1621,'Smelter Look-up'!$J:$J,0))</f>
        <v>#N/A</v>
      </c>
      <c r="X1621" s="170">
        <f t="shared" ca="1" si="128"/>
        <v>0</v>
      </c>
      <c r="AB1621" s="313" t="str">
        <f t="shared" si="130"/>
        <v/>
      </c>
      <c r="AC1621" s="170" t="str">
        <f t="shared" si="131"/>
        <v/>
      </c>
      <c r="AD1621" s="170" t="str">
        <f t="shared" si="132"/>
        <v/>
      </c>
    </row>
    <row r="1622" spans="1:30" s="170" customFormat="1" ht="20.399999999999999">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129"/>
        <v/>
      </c>
      <c r="T1622" s="155" t="str">
        <f ca="1">IF(B1622="","",IF(ISERROR(MATCH($J1622,SorP!$B$1:$B$6226,0)),"",INDIRECT("'SorP'!$A$"&amp;MATCH($S1622&amp;$J1622,SorP!C:C,0))))</f>
        <v/>
      </c>
      <c r="U1622" s="168"/>
      <c r="V1622" s="169" t="e">
        <f>IF(C1622="",NA(),MATCH($B1622&amp;$C1622,'Smelter Look-up'!$J:$J,0))</f>
        <v>#N/A</v>
      </c>
      <c r="X1622" s="170">
        <f t="shared" ca="1" si="128"/>
        <v>0</v>
      </c>
      <c r="AB1622" s="313" t="str">
        <f t="shared" si="130"/>
        <v/>
      </c>
      <c r="AC1622" s="170" t="str">
        <f t="shared" si="131"/>
        <v/>
      </c>
      <c r="AD1622" s="170" t="str">
        <f t="shared" si="132"/>
        <v/>
      </c>
    </row>
    <row r="1623" spans="1:30" s="170" customFormat="1" ht="20.399999999999999">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129"/>
        <v/>
      </c>
      <c r="T1623" s="155" t="str">
        <f ca="1">IF(B1623="","",IF(ISERROR(MATCH($J1623,SorP!$B$1:$B$6226,0)),"",INDIRECT("'SorP'!$A$"&amp;MATCH($S1623&amp;$J1623,SorP!C:C,0))))</f>
        <v/>
      </c>
      <c r="U1623" s="168"/>
      <c r="V1623" s="169" t="e">
        <f>IF(C1623="",NA(),MATCH($B1623&amp;$C1623,'Smelter Look-up'!$J:$J,0))</f>
        <v>#N/A</v>
      </c>
      <c r="X1623" s="170">
        <f t="shared" ca="1" si="128"/>
        <v>0</v>
      </c>
      <c r="AB1623" s="313" t="str">
        <f t="shared" si="130"/>
        <v/>
      </c>
      <c r="AC1623" s="170" t="str">
        <f t="shared" si="131"/>
        <v/>
      </c>
      <c r="AD1623" s="170" t="str">
        <f t="shared" si="132"/>
        <v/>
      </c>
    </row>
    <row r="1624" spans="1:30" s="170" customFormat="1" ht="20.399999999999999">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129"/>
        <v/>
      </c>
      <c r="T1624" s="155" t="str">
        <f ca="1">IF(B1624="","",IF(ISERROR(MATCH($J1624,SorP!$B$1:$B$6226,0)),"",INDIRECT("'SorP'!$A$"&amp;MATCH($S1624&amp;$J1624,SorP!C:C,0))))</f>
        <v/>
      </c>
      <c r="U1624" s="168"/>
      <c r="V1624" s="169" t="e">
        <f>IF(C1624="",NA(),MATCH($B1624&amp;$C1624,'Smelter Look-up'!$J:$J,0))</f>
        <v>#N/A</v>
      </c>
      <c r="X1624" s="170">
        <f t="shared" ca="1" si="128"/>
        <v>0</v>
      </c>
      <c r="AB1624" s="313" t="str">
        <f t="shared" si="130"/>
        <v/>
      </c>
      <c r="AC1624" s="170" t="str">
        <f t="shared" si="131"/>
        <v/>
      </c>
      <c r="AD1624" s="170" t="str">
        <f t="shared" si="132"/>
        <v/>
      </c>
    </row>
    <row r="1625" spans="1:30" s="170" customFormat="1" ht="20.399999999999999">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129"/>
        <v/>
      </c>
      <c r="T1625" s="155" t="str">
        <f ca="1">IF(B1625="","",IF(ISERROR(MATCH($J1625,SorP!$B$1:$B$6226,0)),"",INDIRECT("'SorP'!$A$"&amp;MATCH($S1625&amp;$J1625,SorP!C:C,0))))</f>
        <v/>
      </c>
      <c r="U1625" s="168"/>
      <c r="V1625" s="169" t="e">
        <f>IF(C1625="",NA(),MATCH($B1625&amp;$C1625,'Smelter Look-up'!$J:$J,0))</f>
        <v>#N/A</v>
      </c>
      <c r="X1625" s="170">
        <f t="shared" ca="1" si="128"/>
        <v>0</v>
      </c>
      <c r="AB1625" s="313" t="str">
        <f t="shared" si="130"/>
        <v/>
      </c>
      <c r="AC1625" s="170" t="str">
        <f t="shared" si="131"/>
        <v/>
      </c>
      <c r="AD1625" s="170" t="str">
        <f t="shared" si="132"/>
        <v/>
      </c>
    </row>
    <row r="1626" spans="1:30" s="170" customFormat="1" ht="20.399999999999999">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129"/>
        <v/>
      </c>
      <c r="T1626" s="155" t="str">
        <f ca="1">IF(B1626="","",IF(ISERROR(MATCH($J1626,SorP!$B$1:$B$6226,0)),"",INDIRECT("'SorP'!$A$"&amp;MATCH($S1626&amp;$J1626,SorP!C:C,0))))</f>
        <v/>
      </c>
      <c r="U1626" s="168"/>
      <c r="V1626" s="169" t="e">
        <f>IF(C1626="",NA(),MATCH($B1626&amp;$C1626,'Smelter Look-up'!$J:$J,0))</f>
        <v>#N/A</v>
      </c>
      <c r="X1626" s="170">
        <f t="shared" ca="1" si="128"/>
        <v>0</v>
      </c>
      <c r="AB1626" s="313" t="str">
        <f t="shared" si="130"/>
        <v/>
      </c>
      <c r="AC1626" s="170" t="str">
        <f t="shared" si="131"/>
        <v/>
      </c>
      <c r="AD1626" s="170" t="str">
        <f t="shared" si="132"/>
        <v/>
      </c>
    </row>
    <row r="1627" spans="1:30" s="170" customFormat="1" ht="20.399999999999999">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129"/>
        <v/>
      </c>
      <c r="T1627" s="155" t="str">
        <f ca="1">IF(B1627="","",IF(ISERROR(MATCH($J1627,SorP!$B$1:$B$6226,0)),"",INDIRECT("'SorP'!$A$"&amp;MATCH($S1627&amp;$J1627,SorP!C:C,0))))</f>
        <v/>
      </c>
      <c r="U1627" s="168"/>
      <c r="V1627" s="169" t="e">
        <f>IF(C1627="",NA(),MATCH($B1627&amp;$C1627,'Smelter Look-up'!$J:$J,0))</f>
        <v>#N/A</v>
      </c>
      <c r="X1627" s="170">
        <f t="shared" ca="1" si="128"/>
        <v>0</v>
      </c>
      <c r="AB1627" s="313" t="str">
        <f t="shared" si="130"/>
        <v/>
      </c>
      <c r="AC1627" s="170" t="str">
        <f t="shared" si="131"/>
        <v/>
      </c>
      <c r="AD1627" s="170" t="str">
        <f t="shared" si="132"/>
        <v/>
      </c>
    </row>
    <row r="1628" spans="1:30" s="170" customFormat="1" ht="20.399999999999999">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129"/>
        <v/>
      </c>
      <c r="T1628" s="155" t="str">
        <f ca="1">IF(B1628="","",IF(ISERROR(MATCH($J1628,SorP!$B$1:$B$6226,0)),"",INDIRECT("'SorP'!$A$"&amp;MATCH($S1628&amp;$J1628,SorP!C:C,0))))</f>
        <v/>
      </c>
      <c r="U1628" s="168"/>
      <c r="V1628" s="169" t="e">
        <f>IF(C1628="",NA(),MATCH($B1628&amp;$C1628,'Smelter Look-up'!$J:$J,0))</f>
        <v>#N/A</v>
      </c>
      <c r="X1628" s="170">
        <f t="shared" ca="1" si="128"/>
        <v>0</v>
      </c>
      <c r="AB1628" s="313" t="str">
        <f t="shared" si="130"/>
        <v/>
      </c>
      <c r="AC1628" s="170" t="str">
        <f t="shared" si="131"/>
        <v/>
      </c>
      <c r="AD1628" s="170" t="str">
        <f t="shared" si="132"/>
        <v/>
      </c>
    </row>
    <row r="1629" spans="1:30" s="170" customFormat="1" ht="20.399999999999999">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129"/>
        <v/>
      </c>
      <c r="T1629" s="155" t="str">
        <f ca="1">IF(B1629="","",IF(ISERROR(MATCH($J1629,SorP!$B$1:$B$6226,0)),"",INDIRECT("'SorP'!$A$"&amp;MATCH($S1629&amp;$J1629,SorP!C:C,0))))</f>
        <v/>
      </c>
      <c r="U1629" s="168"/>
      <c r="V1629" s="169" t="e">
        <f>IF(C1629="",NA(),MATCH($B1629&amp;$C1629,'Smelter Look-up'!$J:$J,0))</f>
        <v>#N/A</v>
      </c>
      <c r="X1629" s="170">
        <f t="shared" ca="1" si="128"/>
        <v>0</v>
      </c>
      <c r="AB1629" s="313" t="str">
        <f t="shared" si="130"/>
        <v/>
      </c>
      <c r="AC1629" s="170" t="str">
        <f t="shared" si="131"/>
        <v/>
      </c>
      <c r="AD1629" s="170" t="str">
        <f t="shared" si="132"/>
        <v/>
      </c>
    </row>
    <row r="1630" spans="1:30" s="170" customFormat="1" ht="20.399999999999999">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129"/>
        <v/>
      </c>
      <c r="T1630" s="155" t="str">
        <f ca="1">IF(B1630="","",IF(ISERROR(MATCH($J1630,SorP!$B$1:$B$6226,0)),"",INDIRECT("'SorP'!$A$"&amp;MATCH($S1630&amp;$J1630,SorP!C:C,0))))</f>
        <v/>
      </c>
      <c r="U1630" s="168"/>
      <c r="V1630" s="169" t="e">
        <f>IF(C1630="",NA(),MATCH($B1630&amp;$C1630,'Smelter Look-up'!$J:$J,0))</f>
        <v>#N/A</v>
      </c>
      <c r="X1630" s="170">
        <f t="shared" ca="1" si="128"/>
        <v>0</v>
      </c>
      <c r="AB1630" s="313" t="str">
        <f t="shared" si="130"/>
        <v/>
      </c>
      <c r="AC1630" s="170" t="str">
        <f t="shared" si="131"/>
        <v/>
      </c>
      <c r="AD1630" s="170" t="str">
        <f t="shared" si="132"/>
        <v/>
      </c>
    </row>
    <row r="1631" spans="1:30" s="170" customFormat="1" ht="20.399999999999999">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129"/>
        <v/>
      </c>
      <c r="T1631" s="155" t="str">
        <f ca="1">IF(B1631="","",IF(ISERROR(MATCH($J1631,SorP!$B$1:$B$6226,0)),"",INDIRECT("'SorP'!$A$"&amp;MATCH($S1631&amp;$J1631,SorP!C:C,0))))</f>
        <v/>
      </c>
      <c r="U1631" s="168"/>
      <c r="V1631" s="169" t="e">
        <f>IF(C1631="",NA(),MATCH($B1631&amp;$C1631,'Smelter Look-up'!$J:$J,0))</f>
        <v>#N/A</v>
      </c>
      <c r="X1631" s="170">
        <f t="shared" ca="1" si="128"/>
        <v>0</v>
      </c>
      <c r="AB1631" s="313" t="str">
        <f t="shared" si="130"/>
        <v/>
      </c>
      <c r="AC1631" s="170" t="str">
        <f t="shared" si="131"/>
        <v/>
      </c>
      <c r="AD1631" s="170" t="str">
        <f t="shared" si="132"/>
        <v/>
      </c>
    </row>
    <row r="1632" spans="1:30" s="170" customFormat="1" ht="20.399999999999999">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129"/>
        <v/>
      </c>
      <c r="T1632" s="155" t="str">
        <f ca="1">IF(B1632="","",IF(ISERROR(MATCH($J1632,SorP!$B$1:$B$6226,0)),"",INDIRECT("'SorP'!$A$"&amp;MATCH($S1632&amp;$J1632,SorP!C:C,0))))</f>
        <v/>
      </c>
      <c r="U1632" s="168"/>
      <c r="V1632" s="169" t="e">
        <f>IF(C1632="",NA(),MATCH($B1632&amp;$C1632,'Smelter Look-up'!$J:$J,0))</f>
        <v>#N/A</v>
      </c>
      <c r="X1632" s="170">
        <f t="shared" ca="1" si="128"/>
        <v>0</v>
      </c>
      <c r="AB1632" s="313" t="str">
        <f t="shared" si="130"/>
        <v/>
      </c>
      <c r="AC1632" s="170" t="str">
        <f t="shared" si="131"/>
        <v/>
      </c>
      <c r="AD1632" s="170" t="str">
        <f t="shared" si="132"/>
        <v/>
      </c>
    </row>
    <row r="1633" spans="1:30" s="170" customFormat="1" ht="20.399999999999999">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129"/>
        <v/>
      </c>
      <c r="T1633" s="155" t="str">
        <f ca="1">IF(B1633="","",IF(ISERROR(MATCH($J1633,SorP!$B$1:$B$6226,0)),"",INDIRECT("'SorP'!$A$"&amp;MATCH($S1633&amp;$J1633,SorP!C:C,0))))</f>
        <v/>
      </c>
      <c r="U1633" s="168"/>
      <c r="V1633" s="169" t="e">
        <f>IF(C1633="",NA(),MATCH($B1633&amp;$C1633,'Smelter Look-up'!$J:$J,0))</f>
        <v>#N/A</v>
      </c>
      <c r="X1633" s="170">
        <f t="shared" ca="1" si="128"/>
        <v>0</v>
      </c>
      <c r="AB1633" s="313" t="str">
        <f t="shared" si="130"/>
        <v/>
      </c>
      <c r="AC1633" s="170" t="str">
        <f t="shared" si="131"/>
        <v/>
      </c>
      <c r="AD1633" s="170" t="str">
        <f t="shared" si="132"/>
        <v/>
      </c>
    </row>
    <row r="1634" spans="1:30" s="170" customFormat="1" ht="20.399999999999999">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129"/>
        <v/>
      </c>
      <c r="T1634" s="155" t="str">
        <f ca="1">IF(B1634="","",IF(ISERROR(MATCH($J1634,SorP!$B$1:$B$6226,0)),"",INDIRECT("'SorP'!$A$"&amp;MATCH($S1634&amp;$J1634,SorP!C:C,0))))</f>
        <v/>
      </c>
      <c r="U1634" s="168"/>
      <c r="V1634" s="169" t="e">
        <f>IF(C1634="",NA(),MATCH($B1634&amp;$C1634,'Smelter Look-up'!$J:$J,0))</f>
        <v>#N/A</v>
      </c>
      <c r="X1634" s="170">
        <f t="shared" ca="1" si="128"/>
        <v>0</v>
      </c>
      <c r="AB1634" s="313" t="str">
        <f t="shared" si="130"/>
        <v/>
      </c>
      <c r="AC1634" s="170" t="str">
        <f t="shared" si="131"/>
        <v/>
      </c>
      <c r="AD1634" s="170" t="str">
        <f t="shared" si="132"/>
        <v/>
      </c>
    </row>
    <row r="1635" spans="1:30" s="170" customFormat="1" ht="20.399999999999999">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129"/>
        <v/>
      </c>
      <c r="T1635" s="155" t="str">
        <f ca="1">IF(B1635="","",IF(ISERROR(MATCH($J1635,SorP!$B$1:$B$6226,0)),"",INDIRECT("'SorP'!$A$"&amp;MATCH($S1635&amp;$J1635,SorP!C:C,0))))</f>
        <v/>
      </c>
      <c r="U1635" s="168"/>
      <c r="V1635" s="169" t="e">
        <f>IF(C1635="",NA(),MATCH($B1635&amp;$C1635,'Smelter Look-up'!$J:$J,0))</f>
        <v>#N/A</v>
      </c>
      <c r="X1635" s="170">
        <f t="shared" ca="1" si="128"/>
        <v>0</v>
      </c>
      <c r="AB1635" s="313" t="str">
        <f t="shared" si="130"/>
        <v/>
      </c>
      <c r="AC1635" s="170" t="str">
        <f t="shared" si="131"/>
        <v/>
      </c>
      <c r="AD1635" s="170" t="str">
        <f t="shared" si="132"/>
        <v/>
      </c>
    </row>
    <row r="1636" spans="1:30" s="170" customFormat="1" ht="20.399999999999999">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129"/>
        <v/>
      </c>
      <c r="T1636" s="155" t="str">
        <f ca="1">IF(B1636="","",IF(ISERROR(MATCH($J1636,SorP!$B$1:$B$6226,0)),"",INDIRECT("'SorP'!$A$"&amp;MATCH($S1636&amp;$J1636,SorP!C:C,0))))</f>
        <v/>
      </c>
      <c r="U1636" s="168"/>
      <c r="V1636" s="169" t="e">
        <f>IF(C1636="",NA(),MATCH($B1636&amp;$C1636,'Smelter Look-up'!$J:$J,0))</f>
        <v>#N/A</v>
      </c>
      <c r="X1636" s="170">
        <f t="shared" ca="1" si="128"/>
        <v>0</v>
      </c>
      <c r="AB1636" s="313" t="str">
        <f t="shared" si="130"/>
        <v/>
      </c>
      <c r="AC1636" s="170" t="str">
        <f t="shared" si="131"/>
        <v/>
      </c>
      <c r="AD1636" s="170" t="str">
        <f t="shared" si="132"/>
        <v/>
      </c>
    </row>
    <row r="1637" spans="1:30" s="170" customFormat="1" ht="20.399999999999999">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129"/>
        <v/>
      </c>
      <c r="T1637" s="155" t="str">
        <f ca="1">IF(B1637="","",IF(ISERROR(MATCH($J1637,SorP!$B$1:$B$6226,0)),"",INDIRECT("'SorP'!$A$"&amp;MATCH($S1637&amp;$J1637,SorP!C:C,0))))</f>
        <v/>
      </c>
      <c r="U1637" s="168"/>
      <c r="V1637" s="169" t="e">
        <f>IF(C1637="",NA(),MATCH($B1637&amp;$C1637,'Smelter Look-up'!$J:$J,0))</f>
        <v>#N/A</v>
      </c>
      <c r="X1637" s="170">
        <f t="shared" ca="1" si="128"/>
        <v>0</v>
      </c>
      <c r="AB1637" s="313" t="str">
        <f t="shared" si="130"/>
        <v/>
      </c>
      <c r="AC1637" s="170" t="str">
        <f t="shared" si="131"/>
        <v/>
      </c>
      <c r="AD1637" s="170" t="str">
        <f t="shared" si="132"/>
        <v/>
      </c>
    </row>
    <row r="1638" spans="1:30" s="170" customFormat="1" ht="20.399999999999999">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129"/>
        <v/>
      </c>
      <c r="T1638" s="155" t="str">
        <f ca="1">IF(B1638="","",IF(ISERROR(MATCH($J1638,SorP!$B$1:$B$6226,0)),"",INDIRECT("'SorP'!$A$"&amp;MATCH($S1638&amp;$J1638,SorP!C:C,0))))</f>
        <v/>
      </c>
      <c r="U1638" s="168"/>
      <c r="V1638" s="169" t="e">
        <f>IF(C1638="",NA(),MATCH($B1638&amp;$C1638,'Smelter Look-up'!$J:$J,0))</f>
        <v>#N/A</v>
      </c>
      <c r="X1638" s="170">
        <f t="shared" ca="1" si="128"/>
        <v>0</v>
      </c>
      <c r="AB1638" s="313" t="str">
        <f t="shared" si="130"/>
        <v/>
      </c>
      <c r="AC1638" s="170" t="str">
        <f t="shared" si="131"/>
        <v/>
      </c>
      <c r="AD1638" s="170" t="str">
        <f t="shared" si="132"/>
        <v/>
      </c>
    </row>
    <row r="1639" spans="1:30" s="170" customFormat="1" ht="20.399999999999999">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129"/>
        <v/>
      </c>
      <c r="T1639" s="155" t="str">
        <f ca="1">IF(B1639="","",IF(ISERROR(MATCH($J1639,SorP!$B$1:$B$6226,0)),"",INDIRECT("'SorP'!$A$"&amp;MATCH($S1639&amp;$J1639,SorP!C:C,0))))</f>
        <v/>
      </c>
      <c r="U1639" s="168"/>
      <c r="V1639" s="169" t="e">
        <f>IF(C1639="",NA(),MATCH($B1639&amp;$C1639,'Smelter Look-up'!$J:$J,0))</f>
        <v>#N/A</v>
      </c>
      <c r="X1639" s="170">
        <f t="shared" ca="1" si="128"/>
        <v>0</v>
      </c>
      <c r="AB1639" s="313" t="str">
        <f t="shared" si="130"/>
        <v/>
      </c>
      <c r="AC1639" s="170" t="str">
        <f t="shared" si="131"/>
        <v/>
      </c>
      <c r="AD1639" s="170" t="str">
        <f t="shared" si="132"/>
        <v/>
      </c>
    </row>
    <row r="1640" spans="1:30" s="170" customFormat="1" ht="20.399999999999999">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129"/>
        <v/>
      </c>
      <c r="T1640" s="155" t="str">
        <f ca="1">IF(B1640="","",IF(ISERROR(MATCH($J1640,SorP!$B$1:$B$6226,0)),"",INDIRECT("'SorP'!$A$"&amp;MATCH($S1640&amp;$J1640,SorP!C:C,0))))</f>
        <v/>
      </c>
      <c r="U1640" s="168"/>
      <c r="V1640" s="169" t="e">
        <f>IF(C1640="",NA(),MATCH($B1640&amp;$C1640,'Smelter Look-up'!$J:$J,0))</f>
        <v>#N/A</v>
      </c>
      <c r="X1640" s="170">
        <f t="shared" ca="1" si="128"/>
        <v>0</v>
      </c>
      <c r="AB1640" s="313" t="str">
        <f t="shared" si="130"/>
        <v/>
      </c>
      <c r="AC1640" s="170" t="str">
        <f t="shared" si="131"/>
        <v/>
      </c>
      <c r="AD1640" s="170" t="str">
        <f t="shared" si="132"/>
        <v/>
      </c>
    </row>
    <row r="1641" spans="1:30" s="170" customFormat="1" ht="20.399999999999999">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129"/>
        <v/>
      </c>
      <c r="T1641" s="155" t="str">
        <f ca="1">IF(B1641="","",IF(ISERROR(MATCH($J1641,SorP!$B$1:$B$6226,0)),"",INDIRECT("'SorP'!$A$"&amp;MATCH($S1641&amp;$J1641,SorP!C:C,0))))</f>
        <v/>
      </c>
      <c r="U1641" s="168"/>
      <c r="V1641" s="169" t="e">
        <f>IF(C1641="",NA(),MATCH($B1641&amp;$C1641,'Smelter Look-up'!$J:$J,0))</f>
        <v>#N/A</v>
      </c>
      <c r="X1641" s="170">
        <f t="shared" ca="1" si="128"/>
        <v>0</v>
      </c>
      <c r="AB1641" s="313" t="str">
        <f t="shared" si="130"/>
        <v/>
      </c>
      <c r="AC1641" s="170" t="str">
        <f t="shared" si="131"/>
        <v/>
      </c>
      <c r="AD1641" s="170" t="str">
        <f t="shared" si="132"/>
        <v/>
      </c>
    </row>
    <row r="1642" spans="1:30" s="170" customFormat="1" ht="20.399999999999999">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129"/>
        <v/>
      </c>
      <c r="T1642" s="155" t="str">
        <f ca="1">IF(B1642="","",IF(ISERROR(MATCH($J1642,SorP!$B$1:$B$6226,0)),"",INDIRECT("'SorP'!$A$"&amp;MATCH($S1642&amp;$J1642,SorP!C:C,0))))</f>
        <v/>
      </c>
      <c r="U1642" s="168"/>
      <c r="V1642" s="169" t="e">
        <f>IF(C1642="",NA(),MATCH($B1642&amp;$C1642,'Smelter Look-up'!$J:$J,0))</f>
        <v>#N/A</v>
      </c>
      <c r="X1642" s="170">
        <f t="shared" ca="1" si="128"/>
        <v>0</v>
      </c>
      <c r="AB1642" s="313" t="str">
        <f t="shared" si="130"/>
        <v/>
      </c>
      <c r="AC1642" s="170" t="str">
        <f t="shared" si="131"/>
        <v/>
      </c>
      <c r="AD1642" s="170" t="str">
        <f t="shared" si="132"/>
        <v/>
      </c>
    </row>
    <row r="1643" spans="1:30" s="170" customFormat="1" ht="20.399999999999999">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129"/>
        <v/>
      </c>
      <c r="T1643" s="155" t="str">
        <f ca="1">IF(B1643="","",IF(ISERROR(MATCH($J1643,SorP!$B$1:$B$6226,0)),"",INDIRECT("'SorP'!$A$"&amp;MATCH($S1643&amp;$J1643,SorP!C:C,0))))</f>
        <v/>
      </c>
      <c r="U1643" s="168"/>
      <c r="V1643" s="169" t="e">
        <f>IF(C1643="",NA(),MATCH($B1643&amp;$C1643,'Smelter Look-up'!$J:$J,0))</f>
        <v>#N/A</v>
      </c>
      <c r="X1643" s="170">
        <f t="shared" ca="1" si="128"/>
        <v>0</v>
      </c>
      <c r="AB1643" s="313" t="str">
        <f t="shared" si="130"/>
        <v/>
      </c>
      <c r="AC1643" s="170" t="str">
        <f t="shared" si="131"/>
        <v/>
      </c>
      <c r="AD1643" s="170" t="str">
        <f t="shared" si="132"/>
        <v/>
      </c>
    </row>
    <row r="1644" spans="1:30" s="170" customFormat="1" ht="20.399999999999999">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129"/>
        <v/>
      </c>
      <c r="T1644" s="155" t="str">
        <f ca="1">IF(B1644="","",IF(ISERROR(MATCH($J1644,SorP!$B$1:$B$6226,0)),"",INDIRECT("'SorP'!$A$"&amp;MATCH($S1644&amp;$J1644,SorP!C:C,0))))</f>
        <v/>
      </c>
      <c r="U1644" s="168"/>
      <c r="V1644" s="169" t="e">
        <f>IF(C1644="",NA(),MATCH($B1644&amp;$C1644,'Smelter Look-up'!$J:$J,0))</f>
        <v>#N/A</v>
      </c>
      <c r="X1644" s="170">
        <f t="shared" ca="1" si="128"/>
        <v>0</v>
      </c>
      <c r="AB1644" s="313" t="str">
        <f t="shared" si="130"/>
        <v/>
      </c>
      <c r="AC1644" s="170" t="str">
        <f t="shared" si="131"/>
        <v/>
      </c>
      <c r="AD1644" s="170" t="str">
        <f t="shared" si="132"/>
        <v/>
      </c>
    </row>
    <row r="1645" spans="1:30" s="170" customFormat="1" ht="20.399999999999999">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129"/>
        <v/>
      </c>
      <c r="T1645" s="155" t="str">
        <f ca="1">IF(B1645="","",IF(ISERROR(MATCH($J1645,SorP!$B$1:$B$6226,0)),"",INDIRECT("'SorP'!$A$"&amp;MATCH($S1645&amp;$J1645,SorP!C:C,0))))</f>
        <v/>
      </c>
      <c r="U1645" s="168"/>
      <c r="V1645" s="169" t="e">
        <f>IF(C1645="",NA(),MATCH($B1645&amp;$C1645,'Smelter Look-up'!$J:$J,0))</f>
        <v>#N/A</v>
      </c>
      <c r="X1645" s="170">
        <f t="shared" ca="1" si="128"/>
        <v>0</v>
      </c>
      <c r="AB1645" s="313" t="str">
        <f t="shared" si="130"/>
        <v/>
      </c>
      <c r="AC1645" s="170" t="str">
        <f t="shared" si="131"/>
        <v/>
      </c>
      <c r="AD1645" s="170" t="str">
        <f t="shared" si="132"/>
        <v/>
      </c>
    </row>
    <row r="1646" spans="1:30" s="170" customFormat="1" ht="20.399999999999999">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129"/>
        <v/>
      </c>
      <c r="T1646" s="155" t="str">
        <f ca="1">IF(B1646="","",IF(ISERROR(MATCH($J1646,SorP!$B$1:$B$6226,0)),"",INDIRECT("'SorP'!$A$"&amp;MATCH($S1646&amp;$J1646,SorP!C:C,0))))</f>
        <v/>
      </c>
      <c r="U1646" s="168"/>
      <c r="V1646" s="169" t="e">
        <f>IF(C1646="",NA(),MATCH($B1646&amp;$C1646,'Smelter Look-up'!$J:$J,0))</f>
        <v>#N/A</v>
      </c>
      <c r="X1646" s="170">
        <f t="shared" ca="1" si="128"/>
        <v>0</v>
      </c>
      <c r="AB1646" s="313" t="str">
        <f t="shared" si="130"/>
        <v/>
      </c>
      <c r="AC1646" s="170" t="str">
        <f t="shared" si="131"/>
        <v/>
      </c>
      <c r="AD1646" s="170" t="str">
        <f t="shared" si="132"/>
        <v/>
      </c>
    </row>
    <row r="1647" spans="1:30" s="170" customFormat="1" ht="20.399999999999999">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129"/>
        <v/>
      </c>
      <c r="T1647" s="155" t="str">
        <f ca="1">IF(B1647="","",IF(ISERROR(MATCH($J1647,SorP!$B$1:$B$6226,0)),"",INDIRECT("'SorP'!$A$"&amp;MATCH($S1647&amp;$J1647,SorP!C:C,0))))</f>
        <v/>
      </c>
      <c r="U1647" s="168"/>
      <c r="V1647" s="169" t="e">
        <f>IF(C1647="",NA(),MATCH($B1647&amp;$C1647,'Smelter Look-up'!$J:$J,0))</f>
        <v>#N/A</v>
      </c>
      <c r="X1647" s="170">
        <f t="shared" ca="1" si="128"/>
        <v>0</v>
      </c>
      <c r="AB1647" s="313" t="str">
        <f t="shared" si="130"/>
        <v/>
      </c>
      <c r="AC1647" s="170" t="str">
        <f t="shared" si="131"/>
        <v/>
      </c>
      <c r="AD1647" s="170" t="str">
        <f t="shared" si="132"/>
        <v/>
      </c>
    </row>
    <row r="1648" spans="1:30" s="170" customFormat="1" ht="20.399999999999999">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129"/>
        <v/>
      </c>
      <c r="T1648" s="155" t="str">
        <f ca="1">IF(B1648="","",IF(ISERROR(MATCH($J1648,SorP!$B$1:$B$6226,0)),"",INDIRECT("'SorP'!$A$"&amp;MATCH($S1648&amp;$J1648,SorP!C:C,0))))</f>
        <v/>
      </c>
      <c r="U1648" s="168"/>
      <c r="V1648" s="169" t="e">
        <f>IF(C1648="",NA(),MATCH($B1648&amp;$C1648,'Smelter Look-up'!$J:$J,0))</f>
        <v>#N/A</v>
      </c>
      <c r="X1648" s="170">
        <f t="shared" ca="1" si="128"/>
        <v>0</v>
      </c>
      <c r="AB1648" s="313" t="str">
        <f t="shared" si="130"/>
        <v/>
      </c>
      <c r="AC1648" s="170" t="str">
        <f t="shared" si="131"/>
        <v/>
      </c>
      <c r="AD1648" s="170" t="str">
        <f t="shared" si="132"/>
        <v/>
      </c>
    </row>
    <row r="1649" spans="1:30" s="170" customFormat="1" ht="20.399999999999999">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129"/>
        <v/>
      </c>
      <c r="T1649" s="155" t="str">
        <f ca="1">IF(B1649="","",IF(ISERROR(MATCH($J1649,SorP!$B$1:$B$6226,0)),"",INDIRECT("'SorP'!$A$"&amp;MATCH($S1649&amp;$J1649,SorP!C:C,0))))</f>
        <v/>
      </c>
      <c r="U1649" s="168"/>
      <c r="V1649" s="169" t="e">
        <f>IF(C1649="",NA(),MATCH($B1649&amp;$C1649,'Smelter Look-up'!$J:$J,0))</f>
        <v>#N/A</v>
      </c>
      <c r="X1649" s="170">
        <f t="shared" ca="1" si="128"/>
        <v>0</v>
      </c>
      <c r="AB1649" s="313" t="str">
        <f t="shared" si="130"/>
        <v/>
      </c>
      <c r="AC1649" s="170" t="str">
        <f t="shared" si="131"/>
        <v/>
      </c>
      <c r="AD1649" s="170" t="str">
        <f t="shared" si="132"/>
        <v/>
      </c>
    </row>
    <row r="1650" spans="1:30" s="170" customFormat="1" ht="20.399999999999999">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129"/>
        <v/>
      </c>
      <c r="T1650" s="155" t="str">
        <f ca="1">IF(B1650="","",IF(ISERROR(MATCH($J1650,SorP!$B$1:$B$6226,0)),"",INDIRECT("'SorP'!$A$"&amp;MATCH($S1650&amp;$J1650,SorP!C:C,0))))</f>
        <v/>
      </c>
      <c r="U1650" s="168"/>
      <c r="V1650" s="169" t="e">
        <f>IF(C1650="",NA(),MATCH($B1650&amp;$C1650,'Smelter Look-up'!$J:$J,0))</f>
        <v>#N/A</v>
      </c>
      <c r="X1650" s="170">
        <f t="shared" ca="1" si="128"/>
        <v>0</v>
      </c>
      <c r="AB1650" s="313" t="str">
        <f t="shared" si="130"/>
        <v/>
      </c>
      <c r="AC1650" s="170" t="str">
        <f t="shared" si="131"/>
        <v/>
      </c>
      <c r="AD1650" s="170" t="str">
        <f t="shared" si="132"/>
        <v/>
      </c>
    </row>
    <row r="1651" spans="1:30" s="170" customFormat="1" ht="20.399999999999999">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129"/>
        <v/>
      </c>
      <c r="T1651" s="155" t="str">
        <f ca="1">IF(B1651="","",IF(ISERROR(MATCH($J1651,SorP!$B$1:$B$6226,0)),"",INDIRECT("'SorP'!$A$"&amp;MATCH($S1651&amp;$J1651,SorP!C:C,0))))</f>
        <v/>
      </c>
      <c r="U1651" s="168"/>
      <c r="V1651" s="169" t="e">
        <f>IF(C1651="",NA(),MATCH($B1651&amp;$C1651,'Smelter Look-up'!$J:$J,0))</f>
        <v>#N/A</v>
      </c>
      <c r="X1651" s="170">
        <f t="shared" ca="1" si="128"/>
        <v>0</v>
      </c>
      <c r="AB1651" s="313" t="str">
        <f t="shared" si="130"/>
        <v/>
      </c>
      <c r="AC1651" s="170" t="str">
        <f t="shared" si="131"/>
        <v/>
      </c>
      <c r="AD1651" s="170" t="str">
        <f t="shared" si="132"/>
        <v/>
      </c>
    </row>
    <row r="1652" spans="1:30" s="170" customFormat="1" ht="20.399999999999999">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129"/>
        <v/>
      </c>
      <c r="T1652" s="155" t="str">
        <f ca="1">IF(B1652="","",IF(ISERROR(MATCH($J1652,SorP!$B$1:$B$6226,0)),"",INDIRECT("'SorP'!$A$"&amp;MATCH($S1652&amp;$J1652,SorP!C:C,0))))</f>
        <v/>
      </c>
      <c r="U1652" s="168"/>
      <c r="V1652" s="169" t="e">
        <f>IF(C1652="",NA(),MATCH($B1652&amp;$C1652,'Smelter Look-up'!$J:$J,0))</f>
        <v>#N/A</v>
      </c>
      <c r="X1652" s="170">
        <f t="shared" ca="1" si="128"/>
        <v>0</v>
      </c>
      <c r="AB1652" s="313" t="str">
        <f t="shared" si="130"/>
        <v/>
      </c>
      <c r="AC1652" s="170" t="str">
        <f t="shared" si="131"/>
        <v/>
      </c>
      <c r="AD1652" s="170" t="str">
        <f t="shared" si="132"/>
        <v/>
      </c>
    </row>
    <row r="1653" spans="1:30" s="170" customFormat="1" ht="20.399999999999999">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129"/>
        <v/>
      </c>
      <c r="T1653" s="155" t="str">
        <f ca="1">IF(B1653="","",IF(ISERROR(MATCH($J1653,SorP!$B$1:$B$6226,0)),"",INDIRECT("'SorP'!$A$"&amp;MATCH($S1653&amp;$J1653,SorP!C:C,0))))</f>
        <v/>
      </c>
      <c r="U1653" s="168"/>
      <c r="V1653" s="169" t="e">
        <f>IF(C1653="",NA(),MATCH($B1653&amp;$C1653,'Smelter Look-up'!$J:$J,0))</f>
        <v>#N/A</v>
      </c>
      <c r="X1653" s="170">
        <f t="shared" ca="1" si="128"/>
        <v>0</v>
      </c>
      <c r="AB1653" s="313" t="str">
        <f t="shared" si="130"/>
        <v/>
      </c>
      <c r="AC1653" s="170" t="str">
        <f t="shared" si="131"/>
        <v/>
      </c>
      <c r="AD1653" s="170" t="str">
        <f t="shared" si="132"/>
        <v/>
      </c>
    </row>
    <row r="1654" spans="1:30" s="170" customFormat="1" ht="20.399999999999999">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129"/>
        <v/>
      </c>
      <c r="T1654" s="155" t="str">
        <f ca="1">IF(B1654="","",IF(ISERROR(MATCH($J1654,SorP!$B$1:$B$6226,0)),"",INDIRECT("'SorP'!$A$"&amp;MATCH($S1654&amp;$J1654,SorP!C:C,0))))</f>
        <v/>
      </c>
      <c r="U1654" s="168"/>
      <c r="V1654" s="169" t="e">
        <f>IF(C1654="",NA(),MATCH($B1654&amp;$C1654,'Smelter Look-up'!$J:$J,0))</f>
        <v>#N/A</v>
      </c>
      <c r="X1654" s="170">
        <f t="shared" ca="1" si="128"/>
        <v>0</v>
      </c>
      <c r="AB1654" s="313" t="str">
        <f t="shared" si="130"/>
        <v/>
      </c>
      <c r="AC1654" s="170" t="str">
        <f t="shared" si="131"/>
        <v/>
      </c>
      <c r="AD1654" s="170" t="str">
        <f t="shared" si="132"/>
        <v/>
      </c>
    </row>
    <row r="1655" spans="1:30" s="170" customFormat="1" ht="20.399999999999999">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129"/>
        <v/>
      </c>
      <c r="T1655" s="155" t="str">
        <f ca="1">IF(B1655="","",IF(ISERROR(MATCH($J1655,SorP!$B$1:$B$6226,0)),"",INDIRECT("'SorP'!$A$"&amp;MATCH($S1655&amp;$J1655,SorP!C:C,0))))</f>
        <v/>
      </c>
      <c r="U1655" s="168"/>
      <c r="V1655" s="169" t="e">
        <f>IF(C1655="",NA(),MATCH($B1655&amp;$C1655,'Smelter Look-up'!$J:$J,0))</f>
        <v>#N/A</v>
      </c>
      <c r="X1655" s="170">
        <f t="shared" ca="1" si="128"/>
        <v>0</v>
      </c>
      <c r="AB1655" s="313" t="str">
        <f t="shared" si="130"/>
        <v/>
      </c>
      <c r="AC1655" s="170" t="str">
        <f t="shared" si="131"/>
        <v/>
      </c>
      <c r="AD1655" s="170" t="str">
        <f t="shared" si="132"/>
        <v/>
      </c>
    </row>
    <row r="1656" spans="1:30" s="170" customFormat="1" ht="20.399999999999999">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129"/>
        <v/>
      </c>
      <c r="T1656" s="155" t="str">
        <f ca="1">IF(B1656="","",IF(ISERROR(MATCH($J1656,SorP!$B$1:$B$6226,0)),"",INDIRECT("'SorP'!$A$"&amp;MATCH($S1656&amp;$J1656,SorP!C:C,0))))</f>
        <v/>
      </c>
      <c r="U1656" s="168"/>
      <c r="V1656" s="169" t="e">
        <f>IF(C1656="",NA(),MATCH($B1656&amp;$C1656,'Smelter Look-up'!$J:$J,0))</f>
        <v>#N/A</v>
      </c>
      <c r="X1656" s="170">
        <f t="shared" ca="1" si="128"/>
        <v>0</v>
      </c>
      <c r="AB1656" s="313" t="str">
        <f t="shared" si="130"/>
        <v/>
      </c>
      <c r="AC1656" s="170" t="str">
        <f t="shared" si="131"/>
        <v/>
      </c>
      <c r="AD1656" s="170" t="str">
        <f t="shared" si="132"/>
        <v/>
      </c>
    </row>
    <row r="1657" spans="1:30" s="170" customFormat="1" ht="20.399999999999999">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129"/>
        <v/>
      </c>
      <c r="T1657" s="155" t="str">
        <f ca="1">IF(B1657="","",IF(ISERROR(MATCH($J1657,SorP!$B$1:$B$6226,0)),"",INDIRECT("'SorP'!$A$"&amp;MATCH($S1657&amp;$J1657,SorP!C:C,0))))</f>
        <v/>
      </c>
      <c r="U1657" s="168"/>
      <c r="V1657" s="169" t="e">
        <f>IF(C1657="",NA(),MATCH($B1657&amp;$C1657,'Smelter Look-up'!$J:$J,0))</f>
        <v>#N/A</v>
      </c>
      <c r="X1657" s="170">
        <f t="shared" ca="1" si="128"/>
        <v>0</v>
      </c>
      <c r="AB1657" s="313" t="str">
        <f t="shared" si="130"/>
        <v/>
      </c>
      <c r="AC1657" s="170" t="str">
        <f t="shared" si="131"/>
        <v/>
      </c>
      <c r="AD1657" s="170" t="str">
        <f t="shared" si="132"/>
        <v/>
      </c>
    </row>
    <row r="1658" spans="1:30" s="170" customFormat="1" ht="20.399999999999999">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129"/>
        <v/>
      </c>
      <c r="T1658" s="155" t="str">
        <f ca="1">IF(B1658="","",IF(ISERROR(MATCH($J1658,SorP!$B$1:$B$6226,0)),"",INDIRECT("'SorP'!$A$"&amp;MATCH($S1658&amp;$J1658,SorP!C:C,0))))</f>
        <v/>
      </c>
      <c r="U1658" s="168"/>
      <c r="V1658" s="169" t="e">
        <f>IF(C1658="",NA(),MATCH($B1658&amp;$C1658,'Smelter Look-up'!$J:$J,0))</f>
        <v>#N/A</v>
      </c>
      <c r="X1658" s="170">
        <f t="shared" ca="1" si="128"/>
        <v>0</v>
      </c>
      <c r="AB1658" s="313" t="str">
        <f t="shared" si="130"/>
        <v/>
      </c>
      <c r="AC1658" s="170" t="str">
        <f t="shared" si="131"/>
        <v/>
      </c>
      <c r="AD1658" s="170" t="str">
        <f t="shared" si="132"/>
        <v/>
      </c>
    </row>
    <row r="1659" spans="1:30" s="170" customFormat="1" ht="20.399999999999999">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129"/>
        <v/>
      </c>
      <c r="T1659" s="155" t="str">
        <f ca="1">IF(B1659="","",IF(ISERROR(MATCH($J1659,SorP!$B$1:$B$6226,0)),"",INDIRECT("'SorP'!$A$"&amp;MATCH($S1659&amp;$J1659,SorP!C:C,0))))</f>
        <v/>
      </c>
      <c r="U1659" s="168"/>
      <c r="V1659" s="169" t="e">
        <f>IF(C1659="",NA(),MATCH($B1659&amp;$C1659,'Smelter Look-up'!$J:$J,0))</f>
        <v>#N/A</v>
      </c>
      <c r="X1659" s="170">
        <f t="shared" ca="1" si="128"/>
        <v>0</v>
      </c>
      <c r="AB1659" s="313" t="str">
        <f t="shared" si="130"/>
        <v/>
      </c>
      <c r="AC1659" s="170" t="str">
        <f t="shared" si="131"/>
        <v/>
      </c>
      <c r="AD1659" s="170" t="str">
        <f t="shared" si="132"/>
        <v/>
      </c>
    </row>
    <row r="1660" spans="1:30" s="170" customFormat="1" ht="20.399999999999999">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129"/>
        <v/>
      </c>
      <c r="T1660" s="155" t="str">
        <f ca="1">IF(B1660="","",IF(ISERROR(MATCH($J1660,SorP!$B$1:$B$6226,0)),"",INDIRECT("'SorP'!$A$"&amp;MATCH($S1660&amp;$J1660,SorP!C:C,0))))</f>
        <v/>
      </c>
      <c r="U1660" s="168"/>
      <c r="V1660" s="169" t="e">
        <f>IF(C1660="",NA(),MATCH($B1660&amp;$C1660,'Smelter Look-up'!$J:$J,0))</f>
        <v>#N/A</v>
      </c>
      <c r="X1660" s="170">
        <f t="shared" ca="1" si="128"/>
        <v>0</v>
      </c>
      <c r="AB1660" s="313" t="str">
        <f t="shared" si="130"/>
        <v/>
      </c>
      <c r="AC1660" s="170" t="str">
        <f t="shared" si="131"/>
        <v/>
      </c>
      <c r="AD1660" s="170" t="str">
        <f t="shared" si="132"/>
        <v/>
      </c>
    </row>
    <row r="1661" spans="1:30" s="170" customFormat="1" ht="20.399999999999999">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129"/>
        <v/>
      </c>
      <c r="T1661" s="155" t="str">
        <f ca="1">IF(B1661="","",IF(ISERROR(MATCH($J1661,SorP!$B$1:$B$6226,0)),"",INDIRECT("'SorP'!$A$"&amp;MATCH($S1661&amp;$J1661,SorP!C:C,0))))</f>
        <v/>
      </c>
      <c r="U1661" s="168"/>
      <c r="V1661" s="169" t="e">
        <f>IF(C1661="",NA(),MATCH($B1661&amp;$C1661,'Smelter Look-up'!$J:$J,0))</f>
        <v>#N/A</v>
      </c>
      <c r="X1661" s="170">
        <f t="shared" ca="1" si="128"/>
        <v>0</v>
      </c>
      <c r="AB1661" s="313" t="str">
        <f t="shared" si="130"/>
        <v/>
      </c>
      <c r="AC1661" s="170" t="str">
        <f t="shared" si="131"/>
        <v/>
      </c>
      <c r="AD1661" s="170" t="str">
        <f t="shared" si="132"/>
        <v/>
      </c>
    </row>
    <row r="1662" spans="1:30" s="170" customFormat="1" ht="20.399999999999999">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129"/>
        <v/>
      </c>
      <c r="T1662" s="155" t="str">
        <f ca="1">IF(B1662="","",IF(ISERROR(MATCH($J1662,SorP!$B$1:$B$6226,0)),"",INDIRECT("'SorP'!$A$"&amp;MATCH($S1662&amp;$J1662,SorP!C:C,0))))</f>
        <v/>
      </c>
      <c r="U1662" s="168"/>
      <c r="V1662" s="169" t="e">
        <f>IF(C1662="",NA(),MATCH($B1662&amp;$C1662,'Smelter Look-up'!$J:$J,0))</f>
        <v>#N/A</v>
      </c>
      <c r="X1662" s="170">
        <f t="shared" ca="1" si="128"/>
        <v>0</v>
      </c>
      <c r="AB1662" s="313" t="str">
        <f t="shared" si="130"/>
        <v/>
      </c>
      <c r="AC1662" s="170" t="str">
        <f t="shared" si="131"/>
        <v/>
      </c>
      <c r="AD1662" s="170" t="str">
        <f t="shared" si="132"/>
        <v/>
      </c>
    </row>
    <row r="1663" spans="1:30" s="170" customFormat="1" ht="20.399999999999999">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129"/>
        <v/>
      </c>
      <c r="T1663" s="155" t="str">
        <f ca="1">IF(B1663="","",IF(ISERROR(MATCH($J1663,SorP!$B$1:$B$6226,0)),"",INDIRECT("'SorP'!$A$"&amp;MATCH($S1663&amp;$J1663,SorP!C:C,0))))</f>
        <v/>
      </c>
      <c r="U1663" s="168"/>
      <c r="V1663" s="169" t="e">
        <f>IF(C1663="",NA(),MATCH($B1663&amp;$C1663,'Smelter Look-up'!$J:$J,0))</f>
        <v>#N/A</v>
      </c>
      <c r="X1663" s="170">
        <f t="shared" ref="X1663:X1726" ca="1" si="133">IF(AND(C1663="Smelter not listed",OR(LEN(D1663)=0,LEN(E1663)=0)),1,0)</f>
        <v>0</v>
      </c>
      <c r="AB1663" s="313" t="str">
        <f t="shared" si="130"/>
        <v/>
      </c>
      <c r="AC1663" s="170" t="str">
        <f t="shared" si="131"/>
        <v/>
      </c>
      <c r="AD1663" s="170" t="str">
        <f t="shared" si="132"/>
        <v/>
      </c>
    </row>
    <row r="1664" spans="1:30" s="170" customFormat="1" ht="20.399999999999999">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ref="S1664:S1727" ca="1" si="134">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133"/>
        <v>0</v>
      </c>
      <c r="AB1664" s="313" t="str">
        <f t="shared" si="130"/>
        <v/>
      </c>
      <c r="AC1664" s="170" t="str">
        <f t="shared" si="131"/>
        <v/>
      </c>
      <c r="AD1664" s="170" t="str">
        <f t="shared" si="132"/>
        <v/>
      </c>
    </row>
    <row r="1665" spans="1:30" s="170" customFormat="1" ht="20.399999999999999">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134"/>
        <v/>
      </c>
      <c r="T1665" s="155" t="str">
        <f ca="1">IF(B1665="","",IF(ISERROR(MATCH($J1665,SorP!$B$1:$B$6226,0)),"",INDIRECT("'SorP'!$A$"&amp;MATCH($S1665&amp;$J1665,SorP!C:C,0))))</f>
        <v/>
      </c>
      <c r="U1665" s="168"/>
      <c r="V1665" s="169" t="e">
        <f>IF(C1665="",NA(),MATCH($B1665&amp;$C1665,'Smelter Look-up'!$J:$J,0))</f>
        <v>#N/A</v>
      </c>
      <c r="X1665" s="170">
        <f t="shared" ca="1" si="133"/>
        <v>0</v>
      </c>
      <c r="AB1665" s="313" t="str">
        <f t="shared" si="130"/>
        <v/>
      </c>
      <c r="AC1665" s="170" t="str">
        <f t="shared" si="131"/>
        <v/>
      </c>
      <c r="AD1665" s="170" t="str">
        <f t="shared" si="132"/>
        <v/>
      </c>
    </row>
    <row r="1666" spans="1:30" s="170" customFormat="1" ht="20.399999999999999">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134"/>
        <v/>
      </c>
      <c r="T1666" s="155" t="str">
        <f ca="1">IF(B1666="","",IF(ISERROR(MATCH($J1666,SorP!$B$1:$B$6226,0)),"",INDIRECT("'SorP'!$A$"&amp;MATCH($S1666&amp;$J1666,SorP!C:C,0))))</f>
        <v/>
      </c>
      <c r="U1666" s="168"/>
      <c r="V1666" s="169" t="e">
        <f>IF(C1666="",NA(),MATCH($B1666&amp;$C1666,'Smelter Look-up'!$J:$J,0))</f>
        <v>#N/A</v>
      </c>
      <c r="X1666" s="170">
        <f t="shared" ca="1" si="133"/>
        <v>0</v>
      </c>
      <c r="AB1666" s="313" t="str">
        <f t="shared" si="130"/>
        <v/>
      </c>
      <c r="AC1666" s="170" t="str">
        <f t="shared" si="131"/>
        <v/>
      </c>
      <c r="AD1666" s="170" t="str">
        <f t="shared" si="132"/>
        <v/>
      </c>
    </row>
    <row r="1667" spans="1:30" s="170" customFormat="1" ht="20.399999999999999">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134"/>
        <v/>
      </c>
      <c r="T1667" s="155" t="str">
        <f ca="1">IF(B1667="","",IF(ISERROR(MATCH($J1667,SorP!$B$1:$B$6226,0)),"",INDIRECT("'SorP'!$A$"&amp;MATCH($S1667&amp;$J1667,SorP!C:C,0))))</f>
        <v/>
      </c>
      <c r="U1667" s="168"/>
      <c r="V1667" s="169" t="e">
        <f>IF(C1667="",NA(),MATCH($B1667&amp;$C1667,'Smelter Look-up'!$J:$J,0))</f>
        <v>#N/A</v>
      </c>
      <c r="X1667" s="170">
        <f t="shared" ca="1" si="133"/>
        <v>0</v>
      </c>
      <c r="AB1667" s="313" t="str">
        <f t="shared" si="130"/>
        <v/>
      </c>
      <c r="AC1667" s="170" t="str">
        <f t="shared" si="131"/>
        <v/>
      </c>
      <c r="AD1667" s="170" t="str">
        <f t="shared" si="132"/>
        <v/>
      </c>
    </row>
    <row r="1668" spans="1:30" s="170" customFormat="1" ht="20.399999999999999">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134"/>
        <v/>
      </c>
      <c r="T1668" s="155" t="str">
        <f ca="1">IF(B1668="","",IF(ISERROR(MATCH($J1668,SorP!$B$1:$B$6226,0)),"",INDIRECT("'SorP'!$A$"&amp;MATCH($S1668&amp;$J1668,SorP!C:C,0))))</f>
        <v/>
      </c>
      <c r="U1668" s="168"/>
      <c r="V1668" s="169" t="e">
        <f>IF(C1668="",NA(),MATCH($B1668&amp;$C1668,'Smelter Look-up'!$J:$J,0))</f>
        <v>#N/A</v>
      </c>
      <c r="X1668" s="170">
        <f t="shared" ca="1" si="133"/>
        <v>0</v>
      </c>
      <c r="AB1668" s="313" t="str">
        <f t="shared" si="130"/>
        <v/>
      </c>
      <c r="AC1668" s="170" t="str">
        <f t="shared" si="131"/>
        <v/>
      </c>
      <c r="AD1668" s="170" t="str">
        <f t="shared" si="132"/>
        <v/>
      </c>
    </row>
    <row r="1669" spans="1:30" s="170" customFormat="1" ht="20.399999999999999">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134"/>
        <v/>
      </c>
      <c r="T1669" s="155" t="str">
        <f ca="1">IF(B1669="","",IF(ISERROR(MATCH($J1669,SorP!$B$1:$B$6226,0)),"",INDIRECT("'SorP'!$A$"&amp;MATCH($S1669&amp;$J1669,SorP!C:C,0))))</f>
        <v/>
      </c>
      <c r="U1669" s="168"/>
      <c r="V1669" s="169" t="e">
        <f>IF(C1669="",NA(),MATCH($B1669&amp;$C1669,'Smelter Look-up'!$J:$J,0))</f>
        <v>#N/A</v>
      </c>
      <c r="X1669" s="170">
        <f t="shared" ca="1" si="133"/>
        <v>0</v>
      </c>
      <c r="AB1669" s="313" t="str">
        <f t="shared" si="130"/>
        <v/>
      </c>
      <c r="AC1669" s="170" t="str">
        <f t="shared" si="131"/>
        <v/>
      </c>
      <c r="AD1669" s="170" t="str">
        <f t="shared" si="132"/>
        <v/>
      </c>
    </row>
    <row r="1670" spans="1:30" s="170" customFormat="1" ht="20.399999999999999">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134"/>
        <v/>
      </c>
      <c r="T1670" s="155" t="str">
        <f ca="1">IF(B1670="","",IF(ISERROR(MATCH($J1670,SorP!$B$1:$B$6226,0)),"",INDIRECT("'SorP'!$A$"&amp;MATCH($S1670&amp;$J1670,SorP!C:C,0))))</f>
        <v/>
      </c>
      <c r="U1670" s="168"/>
      <c r="V1670" s="169" t="e">
        <f>IF(C1670="",NA(),MATCH($B1670&amp;$C1670,'Smelter Look-up'!$J:$J,0))</f>
        <v>#N/A</v>
      </c>
      <c r="X1670" s="170">
        <f t="shared" ca="1" si="133"/>
        <v>0</v>
      </c>
      <c r="AB1670" s="313" t="str">
        <f t="shared" ref="AB1670:AB1733" si="135">IF(C1670="","",B1670)</f>
        <v/>
      </c>
      <c r="AC1670" s="170" t="str">
        <f t="shared" ref="AC1670:AC1733" si="136">B1670</f>
        <v/>
      </c>
      <c r="AD1670" s="170" t="str">
        <f t="shared" ref="AD1670:AD1733" si="137">IF(C1670="Smelter not listed",D1670,C1670)</f>
        <v/>
      </c>
    </row>
    <row r="1671" spans="1:30" s="170" customFormat="1" ht="20.399999999999999">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134"/>
        <v/>
      </c>
      <c r="T1671" s="155" t="str">
        <f ca="1">IF(B1671="","",IF(ISERROR(MATCH($J1671,SorP!$B$1:$B$6226,0)),"",INDIRECT("'SorP'!$A$"&amp;MATCH($S1671&amp;$J1671,SorP!C:C,0))))</f>
        <v/>
      </c>
      <c r="U1671" s="168"/>
      <c r="V1671" s="169" t="e">
        <f>IF(C1671="",NA(),MATCH($B1671&amp;$C1671,'Smelter Look-up'!$J:$J,0))</f>
        <v>#N/A</v>
      </c>
      <c r="X1671" s="170">
        <f t="shared" ca="1" si="133"/>
        <v>0</v>
      </c>
      <c r="AB1671" s="313" t="str">
        <f t="shared" si="135"/>
        <v/>
      </c>
      <c r="AC1671" s="170" t="str">
        <f t="shared" si="136"/>
        <v/>
      </c>
      <c r="AD1671" s="170" t="str">
        <f t="shared" si="137"/>
        <v/>
      </c>
    </row>
    <row r="1672" spans="1:30" s="170" customFormat="1" ht="20.399999999999999">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134"/>
        <v/>
      </c>
      <c r="T1672" s="155" t="str">
        <f ca="1">IF(B1672="","",IF(ISERROR(MATCH($J1672,SorP!$B$1:$B$6226,0)),"",INDIRECT("'SorP'!$A$"&amp;MATCH($S1672&amp;$J1672,SorP!C:C,0))))</f>
        <v/>
      </c>
      <c r="U1672" s="168"/>
      <c r="V1672" s="169" t="e">
        <f>IF(C1672="",NA(),MATCH($B1672&amp;$C1672,'Smelter Look-up'!$J:$J,0))</f>
        <v>#N/A</v>
      </c>
      <c r="X1672" s="170">
        <f t="shared" ca="1" si="133"/>
        <v>0</v>
      </c>
      <c r="AB1672" s="313" t="str">
        <f t="shared" si="135"/>
        <v/>
      </c>
      <c r="AC1672" s="170" t="str">
        <f t="shared" si="136"/>
        <v/>
      </c>
      <c r="AD1672" s="170" t="str">
        <f t="shared" si="137"/>
        <v/>
      </c>
    </row>
    <row r="1673" spans="1:30" s="170" customFormat="1" ht="20.399999999999999">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134"/>
        <v/>
      </c>
      <c r="T1673" s="155" t="str">
        <f ca="1">IF(B1673="","",IF(ISERROR(MATCH($J1673,SorP!$B$1:$B$6226,0)),"",INDIRECT("'SorP'!$A$"&amp;MATCH($S1673&amp;$J1673,SorP!C:C,0))))</f>
        <v/>
      </c>
      <c r="U1673" s="168"/>
      <c r="V1673" s="169" t="e">
        <f>IF(C1673="",NA(),MATCH($B1673&amp;$C1673,'Smelter Look-up'!$J:$J,0))</f>
        <v>#N/A</v>
      </c>
      <c r="X1673" s="170">
        <f t="shared" ca="1" si="133"/>
        <v>0</v>
      </c>
      <c r="AB1673" s="313" t="str">
        <f t="shared" si="135"/>
        <v/>
      </c>
      <c r="AC1673" s="170" t="str">
        <f t="shared" si="136"/>
        <v/>
      </c>
      <c r="AD1673" s="170" t="str">
        <f t="shared" si="137"/>
        <v/>
      </c>
    </row>
    <row r="1674" spans="1:30" s="170" customFormat="1" ht="20.399999999999999">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134"/>
        <v/>
      </c>
      <c r="T1674" s="155" t="str">
        <f ca="1">IF(B1674="","",IF(ISERROR(MATCH($J1674,SorP!$B$1:$B$6226,0)),"",INDIRECT("'SorP'!$A$"&amp;MATCH($S1674&amp;$J1674,SorP!C:C,0))))</f>
        <v/>
      </c>
      <c r="U1674" s="168"/>
      <c r="V1674" s="169" t="e">
        <f>IF(C1674="",NA(),MATCH($B1674&amp;$C1674,'Smelter Look-up'!$J:$J,0))</f>
        <v>#N/A</v>
      </c>
      <c r="X1674" s="170">
        <f t="shared" ca="1" si="133"/>
        <v>0</v>
      </c>
      <c r="AB1674" s="313" t="str">
        <f t="shared" si="135"/>
        <v/>
      </c>
      <c r="AC1674" s="170" t="str">
        <f t="shared" si="136"/>
        <v/>
      </c>
      <c r="AD1674" s="170" t="str">
        <f t="shared" si="137"/>
        <v/>
      </c>
    </row>
    <row r="1675" spans="1:30" s="170" customFormat="1" ht="20.399999999999999">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134"/>
        <v/>
      </c>
      <c r="T1675" s="155" t="str">
        <f ca="1">IF(B1675="","",IF(ISERROR(MATCH($J1675,SorP!$B$1:$B$6226,0)),"",INDIRECT("'SorP'!$A$"&amp;MATCH($S1675&amp;$J1675,SorP!C:C,0))))</f>
        <v/>
      </c>
      <c r="U1675" s="168"/>
      <c r="V1675" s="169" t="e">
        <f>IF(C1675="",NA(),MATCH($B1675&amp;$C1675,'Smelter Look-up'!$J:$J,0))</f>
        <v>#N/A</v>
      </c>
      <c r="X1675" s="170">
        <f t="shared" ca="1" si="133"/>
        <v>0</v>
      </c>
      <c r="AB1675" s="313" t="str">
        <f t="shared" si="135"/>
        <v/>
      </c>
      <c r="AC1675" s="170" t="str">
        <f t="shared" si="136"/>
        <v/>
      </c>
      <c r="AD1675" s="170" t="str">
        <f t="shared" si="137"/>
        <v/>
      </c>
    </row>
    <row r="1676" spans="1:30" s="170" customFormat="1" ht="20.399999999999999">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134"/>
        <v/>
      </c>
      <c r="T1676" s="155" t="str">
        <f ca="1">IF(B1676="","",IF(ISERROR(MATCH($J1676,SorP!$B$1:$B$6226,0)),"",INDIRECT("'SorP'!$A$"&amp;MATCH($S1676&amp;$J1676,SorP!C:C,0))))</f>
        <v/>
      </c>
      <c r="U1676" s="168"/>
      <c r="V1676" s="169" t="e">
        <f>IF(C1676="",NA(),MATCH($B1676&amp;$C1676,'Smelter Look-up'!$J:$J,0))</f>
        <v>#N/A</v>
      </c>
      <c r="X1676" s="170">
        <f t="shared" ca="1" si="133"/>
        <v>0</v>
      </c>
      <c r="AB1676" s="313" t="str">
        <f t="shared" si="135"/>
        <v/>
      </c>
      <c r="AC1676" s="170" t="str">
        <f t="shared" si="136"/>
        <v/>
      </c>
      <c r="AD1676" s="170" t="str">
        <f t="shared" si="137"/>
        <v/>
      </c>
    </row>
    <row r="1677" spans="1:30" s="170" customFormat="1" ht="20.399999999999999">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134"/>
        <v/>
      </c>
      <c r="T1677" s="155" t="str">
        <f ca="1">IF(B1677="","",IF(ISERROR(MATCH($J1677,SorP!$B$1:$B$6226,0)),"",INDIRECT("'SorP'!$A$"&amp;MATCH($S1677&amp;$J1677,SorP!C:C,0))))</f>
        <v/>
      </c>
      <c r="U1677" s="168"/>
      <c r="V1677" s="169" t="e">
        <f>IF(C1677="",NA(),MATCH($B1677&amp;$C1677,'Smelter Look-up'!$J:$J,0))</f>
        <v>#N/A</v>
      </c>
      <c r="X1677" s="170">
        <f t="shared" ca="1" si="133"/>
        <v>0</v>
      </c>
      <c r="AB1677" s="313" t="str">
        <f t="shared" si="135"/>
        <v/>
      </c>
      <c r="AC1677" s="170" t="str">
        <f t="shared" si="136"/>
        <v/>
      </c>
      <c r="AD1677" s="170" t="str">
        <f t="shared" si="137"/>
        <v/>
      </c>
    </row>
    <row r="1678" spans="1:30" s="170" customFormat="1" ht="20.399999999999999">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134"/>
        <v/>
      </c>
      <c r="T1678" s="155" t="str">
        <f ca="1">IF(B1678="","",IF(ISERROR(MATCH($J1678,SorP!$B$1:$B$6226,0)),"",INDIRECT("'SorP'!$A$"&amp;MATCH($S1678&amp;$J1678,SorP!C:C,0))))</f>
        <v/>
      </c>
      <c r="U1678" s="168"/>
      <c r="V1678" s="169" t="e">
        <f>IF(C1678="",NA(),MATCH($B1678&amp;$C1678,'Smelter Look-up'!$J:$J,0))</f>
        <v>#N/A</v>
      </c>
      <c r="X1678" s="170">
        <f t="shared" ca="1" si="133"/>
        <v>0</v>
      </c>
      <c r="AB1678" s="313" t="str">
        <f t="shared" si="135"/>
        <v/>
      </c>
      <c r="AC1678" s="170" t="str">
        <f t="shared" si="136"/>
        <v/>
      </c>
      <c r="AD1678" s="170" t="str">
        <f t="shared" si="137"/>
        <v/>
      </c>
    </row>
    <row r="1679" spans="1:30" s="170" customFormat="1" ht="20.399999999999999">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134"/>
        <v/>
      </c>
      <c r="T1679" s="155" t="str">
        <f ca="1">IF(B1679="","",IF(ISERROR(MATCH($J1679,SorP!$B$1:$B$6226,0)),"",INDIRECT("'SorP'!$A$"&amp;MATCH($S1679&amp;$J1679,SorP!C:C,0))))</f>
        <v/>
      </c>
      <c r="U1679" s="168"/>
      <c r="V1679" s="169" t="e">
        <f>IF(C1679="",NA(),MATCH($B1679&amp;$C1679,'Smelter Look-up'!$J:$J,0))</f>
        <v>#N/A</v>
      </c>
      <c r="X1679" s="170">
        <f t="shared" ca="1" si="133"/>
        <v>0</v>
      </c>
      <c r="AB1679" s="313" t="str">
        <f t="shared" si="135"/>
        <v/>
      </c>
      <c r="AC1679" s="170" t="str">
        <f t="shared" si="136"/>
        <v/>
      </c>
      <c r="AD1679" s="170" t="str">
        <f t="shared" si="137"/>
        <v/>
      </c>
    </row>
    <row r="1680" spans="1:30" s="170" customFormat="1" ht="20.399999999999999">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134"/>
        <v/>
      </c>
      <c r="T1680" s="155" t="str">
        <f ca="1">IF(B1680="","",IF(ISERROR(MATCH($J1680,SorP!$B$1:$B$6226,0)),"",INDIRECT("'SorP'!$A$"&amp;MATCH($S1680&amp;$J1680,SorP!C:C,0))))</f>
        <v/>
      </c>
      <c r="U1680" s="168"/>
      <c r="V1680" s="169" t="e">
        <f>IF(C1680="",NA(),MATCH($B1680&amp;$C1680,'Smelter Look-up'!$J:$J,0))</f>
        <v>#N/A</v>
      </c>
      <c r="X1680" s="170">
        <f t="shared" ca="1" si="133"/>
        <v>0</v>
      </c>
      <c r="AB1680" s="313" t="str">
        <f t="shared" si="135"/>
        <v/>
      </c>
      <c r="AC1680" s="170" t="str">
        <f t="shared" si="136"/>
        <v/>
      </c>
      <c r="AD1680" s="170" t="str">
        <f t="shared" si="137"/>
        <v/>
      </c>
    </row>
    <row r="1681" spans="1:30" s="170" customFormat="1" ht="20.399999999999999">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134"/>
        <v/>
      </c>
      <c r="T1681" s="155" t="str">
        <f ca="1">IF(B1681="","",IF(ISERROR(MATCH($J1681,SorP!$B$1:$B$6226,0)),"",INDIRECT("'SorP'!$A$"&amp;MATCH($S1681&amp;$J1681,SorP!C:C,0))))</f>
        <v/>
      </c>
      <c r="U1681" s="168"/>
      <c r="V1681" s="169" t="e">
        <f>IF(C1681="",NA(),MATCH($B1681&amp;$C1681,'Smelter Look-up'!$J:$J,0))</f>
        <v>#N/A</v>
      </c>
      <c r="X1681" s="170">
        <f t="shared" ca="1" si="133"/>
        <v>0</v>
      </c>
      <c r="AB1681" s="313" t="str">
        <f t="shared" si="135"/>
        <v/>
      </c>
      <c r="AC1681" s="170" t="str">
        <f t="shared" si="136"/>
        <v/>
      </c>
      <c r="AD1681" s="170" t="str">
        <f t="shared" si="137"/>
        <v/>
      </c>
    </row>
    <row r="1682" spans="1:30" s="170" customFormat="1" ht="20.399999999999999">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134"/>
        <v/>
      </c>
      <c r="T1682" s="155" t="str">
        <f ca="1">IF(B1682="","",IF(ISERROR(MATCH($J1682,SorP!$B$1:$B$6226,0)),"",INDIRECT("'SorP'!$A$"&amp;MATCH($S1682&amp;$J1682,SorP!C:C,0))))</f>
        <v/>
      </c>
      <c r="U1682" s="168"/>
      <c r="V1682" s="169" t="e">
        <f>IF(C1682="",NA(),MATCH($B1682&amp;$C1682,'Smelter Look-up'!$J:$J,0))</f>
        <v>#N/A</v>
      </c>
      <c r="X1682" s="170">
        <f t="shared" ca="1" si="133"/>
        <v>0</v>
      </c>
      <c r="AB1682" s="313" t="str">
        <f t="shared" si="135"/>
        <v/>
      </c>
      <c r="AC1682" s="170" t="str">
        <f t="shared" si="136"/>
        <v/>
      </c>
      <c r="AD1682" s="170" t="str">
        <f t="shared" si="137"/>
        <v/>
      </c>
    </row>
    <row r="1683" spans="1:30" s="170" customFormat="1" ht="20.399999999999999">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134"/>
        <v/>
      </c>
      <c r="T1683" s="155" t="str">
        <f ca="1">IF(B1683="","",IF(ISERROR(MATCH($J1683,SorP!$B$1:$B$6226,0)),"",INDIRECT("'SorP'!$A$"&amp;MATCH($S1683&amp;$J1683,SorP!C:C,0))))</f>
        <v/>
      </c>
      <c r="U1683" s="168"/>
      <c r="V1683" s="169" t="e">
        <f>IF(C1683="",NA(),MATCH($B1683&amp;$C1683,'Smelter Look-up'!$J:$J,0))</f>
        <v>#N/A</v>
      </c>
      <c r="X1683" s="170">
        <f t="shared" ca="1" si="133"/>
        <v>0</v>
      </c>
      <c r="AB1683" s="313" t="str">
        <f t="shared" si="135"/>
        <v/>
      </c>
      <c r="AC1683" s="170" t="str">
        <f t="shared" si="136"/>
        <v/>
      </c>
      <c r="AD1683" s="170" t="str">
        <f t="shared" si="137"/>
        <v/>
      </c>
    </row>
    <row r="1684" spans="1:30" s="170" customFormat="1" ht="20.399999999999999">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134"/>
        <v/>
      </c>
      <c r="T1684" s="155" t="str">
        <f ca="1">IF(B1684="","",IF(ISERROR(MATCH($J1684,SorP!$B$1:$B$6226,0)),"",INDIRECT("'SorP'!$A$"&amp;MATCH($S1684&amp;$J1684,SorP!C:C,0))))</f>
        <v/>
      </c>
      <c r="U1684" s="168"/>
      <c r="V1684" s="169" t="e">
        <f>IF(C1684="",NA(),MATCH($B1684&amp;$C1684,'Smelter Look-up'!$J:$J,0))</f>
        <v>#N/A</v>
      </c>
      <c r="X1684" s="170">
        <f t="shared" ca="1" si="133"/>
        <v>0</v>
      </c>
      <c r="AB1684" s="313" t="str">
        <f t="shared" si="135"/>
        <v/>
      </c>
      <c r="AC1684" s="170" t="str">
        <f t="shared" si="136"/>
        <v/>
      </c>
      <c r="AD1684" s="170" t="str">
        <f t="shared" si="137"/>
        <v/>
      </c>
    </row>
    <row r="1685" spans="1:30" s="170" customFormat="1" ht="20.399999999999999">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134"/>
        <v/>
      </c>
      <c r="T1685" s="155" t="str">
        <f ca="1">IF(B1685="","",IF(ISERROR(MATCH($J1685,SorP!$B$1:$B$6226,0)),"",INDIRECT("'SorP'!$A$"&amp;MATCH($S1685&amp;$J1685,SorP!C:C,0))))</f>
        <v/>
      </c>
      <c r="U1685" s="168"/>
      <c r="V1685" s="169" t="e">
        <f>IF(C1685="",NA(),MATCH($B1685&amp;$C1685,'Smelter Look-up'!$J:$J,0))</f>
        <v>#N/A</v>
      </c>
      <c r="X1685" s="170">
        <f t="shared" ca="1" si="133"/>
        <v>0</v>
      </c>
      <c r="AB1685" s="313" t="str">
        <f t="shared" si="135"/>
        <v/>
      </c>
      <c r="AC1685" s="170" t="str">
        <f t="shared" si="136"/>
        <v/>
      </c>
      <c r="AD1685" s="170" t="str">
        <f t="shared" si="137"/>
        <v/>
      </c>
    </row>
    <row r="1686" spans="1:30" s="170" customFormat="1" ht="20.399999999999999">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134"/>
        <v/>
      </c>
      <c r="T1686" s="155" t="str">
        <f ca="1">IF(B1686="","",IF(ISERROR(MATCH($J1686,SorP!$B$1:$B$6226,0)),"",INDIRECT("'SorP'!$A$"&amp;MATCH($S1686&amp;$J1686,SorP!C:C,0))))</f>
        <v/>
      </c>
      <c r="U1686" s="168"/>
      <c r="V1686" s="169" t="e">
        <f>IF(C1686="",NA(),MATCH($B1686&amp;$C1686,'Smelter Look-up'!$J:$J,0))</f>
        <v>#N/A</v>
      </c>
      <c r="X1686" s="170">
        <f t="shared" ca="1" si="133"/>
        <v>0</v>
      </c>
      <c r="AB1686" s="313" t="str">
        <f t="shared" si="135"/>
        <v/>
      </c>
      <c r="AC1686" s="170" t="str">
        <f t="shared" si="136"/>
        <v/>
      </c>
      <c r="AD1686" s="170" t="str">
        <f t="shared" si="137"/>
        <v/>
      </c>
    </row>
    <row r="1687" spans="1:30" s="170" customFormat="1" ht="20.399999999999999">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134"/>
        <v/>
      </c>
      <c r="T1687" s="155" t="str">
        <f ca="1">IF(B1687="","",IF(ISERROR(MATCH($J1687,SorP!$B$1:$B$6226,0)),"",INDIRECT("'SorP'!$A$"&amp;MATCH($S1687&amp;$J1687,SorP!C:C,0))))</f>
        <v/>
      </c>
      <c r="U1687" s="168"/>
      <c r="V1687" s="169" t="e">
        <f>IF(C1687="",NA(),MATCH($B1687&amp;$C1687,'Smelter Look-up'!$J:$J,0))</f>
        <v>#N/A</v>
      </c>
      <c r="X1687" s="170">
        <f t="shared" ca="1" si="133"/>
        <v>0</v>
      </c>
      <c r="AB1687" s="313" t="str">
        <f t="shared" si="135"/>
        <v/>
      </c>
      <c r="AC1687" s="170" t="str">
        <f t="shared" si="136"/>
        <v/>
      </c>
      <c r="AD1687" s="170" t="str">
        <f t="shared" si="137"/>
        <v/>
      </c>
    </row>
    <row r="1688" spans="1:30" s="170" customFormat="1" ht="20.399999999999999">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134"/>
        <v/>
      </c>
      <c r="T1688" s="155" t="str">
        <f ca="1">IF(B1688="","",IF(ISERROR(MATCH($J1688,SorP!$B$1:$B$6226,0)),"",INDIRECT("'SorP'!$A$"&amp;MATCH($S1688&amp;$J1688,SorP!C:C,0))))</f>
        <v/>
      </c>
      <c r="U1688" s="168"/>
      <c r="V1688" s="169" t="e">
        <f>IF(C1688="",NA(),MATCH($B1688&amp;$C1688,'Smelter Look-up'!$J:$J,0))</f>
        <v>#N/A</v>
      </c>
      <c r="X1688" s="170">
        <f t="shared" ca="1" si="133"/>
        <v>0</v>
      </c>
      <c r="AB1688" s="313" t="str">
        <f t="shared" si="135"/>
        <v/>
      </c>
      <c r="AC1688" s="170" t="str">
        <f t="shared" si="136"/>
        <v/>
      </c>
      <c r="AD1688" s="170" t="str">
        <f t="shared" si="137"/>
        <v/>
      </c>
    </row>
    <row r="1689" spans="1:30" s="170" customFormat="1" ht="20.399999999999999">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134"/>
        <v/>
      </c>
      <c r="T1689" s="155" t="str">
        <f ca="1">IF(B1689="","",IF(ISERROR(MATCH($J1689,SorP!$B$1:$B$6226,0)),"",INDIRECT("'SorP'!$A$"&amp;MATCH($S1689&amp;$J1689,SorP!C:C,0))))</f>
        <v/>
      </c>
      <c r="U1689" s="168"/>
      <c r="V1689" s="169" t="e">
        <f>IF(C1689="",NA(),MATCH($B1689&amp;$C1689,'Smelter Look-up'!$J:$J,0))</f>
        <v>#N/A</v>
      </c>
      <c r="X1689" s="170">
        <f t="shared" ca="1" si="133"/>
        <v>0</v>
      </c>
      <c r="AB1689" s="313" t="str">
        <f t="shared" si="135"/>
        <v/>
      </c>
      <c r="AC1689" s="170" t="str">
        <f t="shared" si="136"/>
        <v/>
      </c>
      <c r="AD1689" s="170" t="str">
        <f t="shared" si="137"/>
        <v/>
      </c>
    </row>
    <row r="1690" spans="1:30" s="170" customFormat="1" ht="20.399999999999999">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134"/>
        <v/>
      </c>
      <c r="T1690" s="155" t="str">
        <f ca="1">IF(B1690="","",IF(ISERROR(MATCH($J1690,SorP!$B$1:$B$6226,0)),"",INDIRECT("'SorP'!$A$"&amp;MATCH($S1690&amp;$J1690,SorP!C:C,0))))</f>
        <v/>
      </c>
      <c r="U1690" s="168"/>
      <c r="V1690" s="169" t="e">
        <f>IF(C1690="",NA(),MATCH($B1690&amp;$C1690,'Smelter Look-up'!$J:$J,0))</f>
        <v>#N/A</v>
      </c>
      <c r="X1690" s="170">
        <f t="shared" ca="1" si="133"/>
        <v>0</v>
      </c>
      <c r="AB1690" s="313" t="str">
        <f t="shared" si="135"/>
        <v/>
      </c>
      <c r="AC1690" s="170" t="str">
        <f t="shared" si="136"/>
        <v/>
      </c>
      <c r="AD1690" s="170" t="str">
        <f t="shared" si="137"/>
        <v/>
      </c>
    </row>
    <row r="1691" spans="1:30" s="170" customFormat="1" ht="20.399999999999999">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134"/>
        <v/>
      </c>
      <c r="T1691" s="155" t="str">
        <f ca="1">IF(B1691="","",IF(ISERROR(MATCH($J1691,SorP!$B$1:$B$6226,0)),"",INDIRECT("'SorP'!$A$"&amp;MATCH($S1691&amp;$J1691,SorP!C:C,0))))</f>
        <v/>
      </c>
      <c r="U1691" s="168"/>
      <c r="V1691" s="169" t="e">
        <f>IF(C1691="",NA(),MATCH($B1691&amp;$C1691,'Smelter Look-up'!$J:$J,0))</f>
        <v>#N/A</v>
      </c>
      <c r="X1691" s="170">
        <f t="shared" ca="1" si="133"/>
        <v>0</v>
      </c>
      <c r="AB1691" s="313" t="str">
        <f t="shared" si="135"/>
        <v/>
      </c>
      <c r="AC1691" s="170" t="str">
        <f t="shared" si="136"/>
        <v/>
      </c>
      <c r="AD1691" s="170" t="str">
        <f t="shared" si="137"/>
        <v/>
      </c>
    </row>
    <row r="1692" spans="1:30" s="170" customFormat="1" ht="20.399999999999999">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134"/>
        <v/>
      </c>
      <c r="T1692" s="155" t="str">
        <f ca="1">IF(B1692="","",IF(ISERROR(MATCH($J1692,SorP!$B$1:$B$6226,0)),"",INDIRECT("'SorP'!$A$"&amp;MATCH($S1692&amp;$J1692,SorP!C:C,0))))</f>
        <v/>
      </c>
      <c r="U1692" s="168"/>
      <c r="V1692" s="169" t="e">
        <f>IF(C1692="",NA(),MATCH($B1692&amp;$C1692,'Smelter Look-up'!$J:$J,0))</f>
        <v>#N/A</v>
      </c>
      <c r="X1692" s="170">
        <f t="shared" ca="1" si="133"/>
        <v>0</v>
      </c>
      <c r="AB1692" s="313" t="str">
        <f t="shared" si="135"/>
        <v/>
      </c>
      <c r="AC1692" s="170" t="str">
        <f t="shared" si="136"/>
        <v/>
      </c>
      <c r="AD1692" s="170" t="str">
        <f t="shared" si="137"/>
        <v/>
      </c>
    </row>
    <row r="1693" spans="1:30" s="170" customFormat="1" ht="20.399999999999999">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134"/>
        <v/>
      </c>
      <c r="T1693" s="155" t="str">
        <f ca="1">IF(B1693="","",IF(ISERROR(MATCH($J1693,SorP!$B$1:$B$6226,0)),"",INDIRECT("'SorP'!$A$"&amp;MATCH($S1693&amp;$J1693,SorP!C:C,0))))</f>
        <v/>
      </c>
      <c r="U1693" s="168"/>
      <c r="V1693" s="169" t="e">
        <f>IF(C1693="",NA(),MATCH($B1693&amp;$C1693,'Smelter Look-up'!$J:$J,0))</f>
        <v>#N/A</v>
      </c>
      <c r="X1693" s="170">
        <f t="shared" ca="1" si="133"/>
        <v>0</v>
      </c>
      <c r="AB1693" s="313" t="str">
        <f t="shared" si="135"/>
        <v/>
      </c>
      <c r="AC1693" s="170" t="str">
        <f t="shared" si="136"/>
        <v/>
      </c>
      <c r="AD1693" s="170" t="str">
        <f t="shared" si="137"/>
        <v/>
      </c>
    </row>
    <row r="1694" spans="1:30" s="170" customFormat="1" ht="20.399999999999999">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134"/>
        <v/>
      </c>
      <c r="T1694" s="155" t="str">
        <f ca="1">IF(B1694="","",IF(ISERROR(MATCH($J1694,SorP!$B$1:$B$6226,0)),"",INDIRECT("'SorP'!$A$"&amp;MATCH($S1694&amp;$J1694,SorP!C:C,0))))</f>
        <v/>
      </c>
      <c r="U1694" s="168"/>
      <c r="V1694" s="169" t="e">
        <f>IF(C1694="",NA(),MATCH($B1694&amp;$C1694,'Smelter Look-up'!$J:$J,0))</f>
        <v>#N/A</v>
      </c>
      <c r="X1694" s="170">
        <f t="shared" ca="1" si="133"/>
        <v>0</v>
      </c>
      <c r="AB1694" s="313" t="str">
        <f t="shared" si="135"/>
        <v/>
      </c>
      <c r="AC1694" s="170" t="str">
        <f t="shared" si="136"/>
        <v/>
      </c>
      <c r="AD1694" s="170" t="str">
        <f t="shared" si="137"/>
        <v/>
      </c>
    </row>
    <row r="1695" spans="1:30" s="170" customFormat="1" ht="20.399999999999999">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134"/>
        <v/>
      </c>
      <c r="T1695" s="155" t="str">
        <f ca="1">IF(B1695="","",IF(ISERROR(MATCH($J1695,SorP!$B$1:$B$6226,0)),"",INDIRECT("'SorP'!$A$"&amp;MATCH($S1695&amp;$J1695,SorP!C:C,0))))</f>
        <v/>
      </c>
      <c r="U1695" s="168"/>
      <c r="V1695" s="169" t="e">
        <f>IF(C1695="",NA(),MATCH($B1695&amp;$C1695,'Smelter Look-up'!$J:$J,0))</f>
        <v>#N/A</v>
      </c>
      <c r="X1695" s="170">
        <f t="shared" ca="1" si="133"/>
        <v>0</v>
      </c>
      <c r="AB1695" s="313" t="str">
        <f t="shared" si="135"/>
        <v/>
      </c>
      <c r="AC1695" s="170" t="str">
        <f t="shared" si="136"/>
        <v/>
      </c>
      <c r="AD1695" s="170" t="str">
        <f t="shared" si="137"/>
        <v/>
      </c>
    </row>
    <row r="1696" spans="1:30" s="170" customFormat="1" ht="20.399999999999999">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134"/>
        <v/>
      </c>
      <c r="T1696" s="155" t="str">
        <f ca="1">IF(B1696="","",IF(ISERROR(MATCH($J1696,SorP!$B$1:$B$6226,0)),"",INDIRECT("'SorP'!$A$"&amp;MATCH($S1696&amp;$J1696,SorP!C:C,0))))</f>
        <v/>
      </c>
      <c r="U1696" s="168"/>
      <c r="V1696" s="169" t="e">
        <f>IF(C1696="",NA(),MATCH($B1696&amp;$C1696,'Smelter Look-up'!$J:$J,0))</f>
        <v>#N/A</v>
      </c>
      <c r="X1696" s="170">
        <f t="shared" ca="1" si="133"/>
        <v>0</v>
      </c>
      <c r="AB1696" s="313" t="str">
        <f t="shared" si="135"/>
        <v/>
      </c>
      <c r="AC1696" s="170" t="str">
        <f t="shared" si="136"/>
        <v/>
      </c>
      <c r="AD1696" s="170" t="str">
        <f t="shared" si="137"/>
        <v/>
      </c>
    </row>
    <row r="1697" spans="1:30" s="170" customFormat="1" ht="20.399999999999999">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134"/>
        <v/>
      </c>
      <c r="T1697" s="155" t="str">
        <f ca="1">IF(B1697="","",IF(ISERROR(MATCH($J1697,SorP!$B$1:$B$6226,0)),"",INDIRECT("'SorP'!$A$"&amp;MATCH($S1697&amp;$J1697,SorP!C:C,0))))</f>
        <v/>
      </c>
      <c r="U1697" s="168"/>
      <c r="V1697" s="169" t="e">
        <f>IF(C1697="",NA(),MATCH($B1697&amp;$C1697,'Smelter Look-up'!$J:$J,0))</f>
        <v>#N/A</v>
      </c>
      <c r="X1697" s="170">
        <f t="shared" ca="1" si="133"/>
        <v>0</v>
      </c>
      <c r="AB1697" s="313" t="str">
        <f t="shared" si="135"/>
        <v/>
      </c>
      <c r="AC1697" s="170" t="str">
        <f t="shared" si="136"/>
        <v/>
      </c>
      <c r="AD1697" s="170" t="str">
        <f t="shared" si="137"/>
        <v/>
      </c>
    </row>
    <row r="1698" spans="1:30" s="170" customFormat="1" ht="20.399999999999999">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134"/>
        <v/>
      </c>
      <c r="T1698" s="155" t="str">
        <f ca="1">IF(B1698="","",IF(ISERROR(MATCH($J1698,SorP!$B$1:$B$6226,0)),"",INDIRECT("'SorP'!$A$"&amp;MATCH($S1698&amp;$J1698,SorP!C:C,0))))</f>
        <v/>
      </c>
      <c r="U1698" s="168"/>
      <c r="V1698" s="169" t="e">
        <f>IF(C1698="",NA(),MATCH($B1698&amp;$C1698,'Smelter Look-up'!$J:$J,0))</f>
        <v>#N/A</v>
      </c>
      <c r="X1698" s="170">
        <f t="shared" ca="1" si="133"/>
        <v>0</v>
      </c>
      <c r="AB1698" s="313" t="str">
        <f t="shared" si="135"/>
        <v/>
      </c>
      <c r="AC1698" s="170" t="str">
        <f t="shared" si="136"/>
        <v/>
      </c>
      <c r="AD1698" s="170" t="str">
        <f t="shared" si="137"/>
        <v/>
      </c>
    </row>
    <row r="1699" spans="1:30" s="170" customFormat="1" ht="20.399999999999999">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134"/>
        <v/>
      </c>
      <c r="T1699" s="155" t="str">
        <f ca="1">IF(B1699="","",IF(ISERROR(MATCH($J1699,SorP!$B$1:$B$6226,0)),"",INDIRECT("'SorP'!$A$"&amp;MATCH($S1699&amp;$J1699,SorP!C:C,0))))</f>
        <v/>
      </c>
      <c r="U1699" s="168"/>
      <c r="V1699" s="169" t="e">
        <f>IF(C1699="",NA(),MATCH($B1699&amp;$C1699,'Smelter Look-up'!$J:$J,0))</f>
        <v>#N/A</v>
      </c>
      <c r="X1699" s="170">
        <f t="shared" ca="1" si="133"/>
        <v>0</v>
      </c>
      <c r="AB1699" s="313" t="str">
        <f t="shared" si="135"/>
        <v/>
      </c>
      <c r="AC1699" s="170" t="str">
        <f t="shared" si="136"/>
        <v/>
      </c>
      <c r="AD1699" s="170" t="str">
        <f t="shared" si="137"/>
        <v/>
      </c>
    </row>
    <row r="1700" spans="1:30" s="170" customFormat="1" ht="20.399999999999999">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134"/>
        <v/>
      </c>
      <c r="T1700" s="155" t="str">
        <f ca="1">IF(B1700="","",IF(ISERROR(MATCH($J1700,SorP!$B$1:$B$6226,0)),"",INDIRECT("'SorP'!$A$"&amp;MATCH($S1700&amp;$J1700,SorP!C:C,0))))</f>
        <v/>
      </c>
      <c r="U1700" s="168"/>
      <c r="V1700" s="169" t="e">
        <f>IF(C1700="",NA(),MATCH($B1700&amp;$C1700,'Smelter Look-up'!$J:$J,0))</f>
        <v>#N/A</v>
      </c>
      <c r="X1700" s="170">
        <f t="shared" ca="1" si="133"/>
        <v>0</v>
      </c>
      <c r="AB1700" s="313" t="str">
        <f t="shared" si="135"/>
        <v/>
      </c>
      <c r="AC1700" s="170" t="str">
        <f t="shared" si="136"/>
        <v/>
      </c>
      <c r="AD1700" s="170" t="str">
        <f t="shared" si="137"/>
        <v/>
      </c>
    </row>
    <row r="1701" spans="1:30" s="170" customFormat="1" ht="20.399999999999999">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134"/>
        <v/>
      </c>
      <c r="T1701" s="155" t="str">
        <f ca="1">IF(B1701="","",IF(ISERROR(MATCH($J1701,SorP!$B$1:$B$6226,0)),"",INDIRECT("'SorP'!$A$"&amp;MATCH($S1701&amp;$J1701,SorP!C:C,0))))</f>
        <v/>
      </c>
      <c r="U1701" s="168"/>
      <c r="V1701" s="169" t="e">
        <f>IF(C1701="",NA(),MATCH($B1701&amp;$C1701,'Smelter Look-up'!$J:$J,0))</f>
        <v>#N/A</v>
      </c>
      <c r="X1701" s="170">
        <f t="shared" ca="1" si="133"/>
        <v>0</v>
      </c>
      <c r="AB1701" s="313" t="str">
        <f t="shared" si="135"/>
        <v/>
      </c>
      <c r="AC1701" s="170" t="str">
        <f t="shared" si="136"/>
        <v/>
      </c>
      <c r="AD1701" s="170" t="str">
        <f t="shared" si="137"/>
        <v/>
      </c>
    </row>
    <row r="1702" spans="1:30" s="170" customFormat="1" ht="20.399999999999999">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134"/>
        <v/>
      </c>
      <c r="T1702" s="155" t="str">
        <f ca="1">IF(B1702="","",IF(ISERROR(MATCH($J1702,SorP!$B$1:$B$6226,0)),"",INDIRECT("'SorP'!$A$"&amp;MATCH($S1702&amp;$J1702,SorP!C:C,0))))</f>
        <v/>
      </c>
      <c r="U1702" s="168"/>
      <c r="V1702" s="169" t="e">
        <f>IF(C1702="",NA(),MATCH($B1702&amp;$C1702,'Smelter Look-up'!$J:$J,0))</f>
        <v>#N/A</v>
      </c>
      <c r="X1702" s="170">
        <f t="shared" ca="1" si="133"/>
        <v>0</v>
      </c>
      <c r="AB1702" s="313" t="str">
        <f t="shared" si="135"/>
        <v/>
      </c>
      <c r="AC1702" s="170" t="str">
        <f t="shared" si="136"/>
        <v/>
      </c>
      <c r="AD1702" s="170" t="str">
        <f t="shared" si="137"/>
        <v/>
      </c>
    </row>
    <row r="1703" spans="1:30" s="170" customFormat="1" ht="20.399999999999999">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134"/>
        <v/>
      </c>
      <c r="T1703" s="155" t="str">
        <f ca="1">IF(B1703="","",IF(ISERROR(MATCH($J1703,SorP!$B$1:$B$6226,0)),"",INDIRECT("'SorP'!$A$"&amp;MATCH($S1703&amp;$J1703,SorP!C:C,0))))</f>
        <v/>
      </c>
      <c r="U1703" s="168"/>
      <c r="V1703" s="169" t="e">
        <f>IF(C1703="",NA(),MATCH($B1703&amp;$C1703,'Smelter Look-up'!$J:$J,0))</f>
        <v>#N/A</v>
      </c>
      <c r="X1703" s="170">
        <f t="shared" ca="1" si="133"/>
        <v>0</v>
      </c>
      <c r="AB1703" s="313" t="str">
        <f t="shared" si="135"/>
        <v/>
      </c>
      <c r="AC1703" s="170" t="str">
        <f t="shared" si="136"/>
        <v/>
      </c>
      <c r="AD1703" s="170" t="str">
        <f t="shared" si="137"/>
        <v/>
      </c>
    </row>
    <row r="1704" spans="1:30" s="170" customFormat="1" ht="20.399999999999999">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134"/>
        <v/>
      </c>
      <c r="T1704" s="155" t="str">
        <f ca="1">IF(B1704="","",IF(ISERROR(MATCH($J1704,SorP!$B$1:$B$6226,0)),"",INDIRECT("'SorP'!$A$"&amp;MATCH($S1704&amp;$J1704,SorP!C:C,0))))</f>
        <v/>
      </c>
      <c r="U1704" s="168"/>
      <c r="V1704" s="169" t="e">
        <f>IF(C1704="",NA(),MATCH($B1704&amp;$C1704,'Smelter Look-up'!$J:$J,0))</f>
        <v>#N/A</v>
      </c>
      <c r="X1704" s="170">
        <f t="shared" ca="1" si="133"/>
        <v>0</v>
      </c>
      <c r="AB1704" s="313" t="str">
        <f t="shared" si="135"/>
        <v/>
      </c>
      <c r="AC1704" s="170" t="str">
        <f t="shared" si="136"/>
        <v/>
      </c>
      <c r="AD1704" s="170" t="str">
        <f t="shared" si="137"/>
        <v/>
      </c>
    </row>
    <row r="1705" spans="1:30" s="170" customFormat="1" ht="20.399999999999999">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134"/>
        <v/>
      </c>
      <c r="T1705" s="155" t="str">
        <f ca="1">IF(B1705="","",IF(ISERROR(MATCH($J1705,SorP!$B$1:$B$6226,0)),"",INDIRECT("'SorP'!$A$"&amp;MATCH($S1705&amp;$J1705,SorP!C:C,0))))</f>
        <v/>
      </c>
      <c r="U1705" s="168"/>
      <c r="V1705" s="169" t="e">
        <f>IF(C1705="",NA(),MATCH($B1705&amp;$C1705,'Smelter Look-up'!$J:$J,0))</f>
        <v>#N/A</v>
      </c>
      <c r="X1705" s="170">
        <f t="shared" ca="1" si="133"/>
        <v>0</v>
      </c>
      <c r="AB1705" s="313" t="str">
        <f t="shared" si="135"/>
        <v/>
      </c>
      <c r="AC1705" s="170" t="str">
        <f t="shared" si="136"/>
        <v/>
      </c>
      <c r="AD1705" s="170" t="str">
        <f t="shared" si="137"/>
        <v/>
      </c>
    </row>
    <row r="1706" spans="1:30" s="170" customFormat="1" ht="20.399999999999999">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134"/>
        <v/>
      </c>
      <c r="T1706" s="155" t="str">
        <f ca="1">IF(B1706="","",IF(ISERROR(MATCH($J1706,SorP!$B$1:$B$6226,0)),"",INDIRECT("'SorP'!$A$"&amp;MATCH($S1706&amp;$J1706,SorP!C:C,0))))</f>
        <v/>
      </c>
      <c r="U1706" s="168"/>
      <c r="V1706" s="169" t="e">
        <f>IF(C1706="",NA(),MATCH($B1706&amp;$C1706,'Smelter Look-up'!$J:$J,0))</f>
        <v>#N/A</v>
      </c>
      <c r="X1706" s="170">
        <f t="shared" ca="1" si="133"/>
        <v>0</v>
      </c>
      <c r="AB1706" s="313" t="str">
        <f t="shared" si="135"/>
        <v/>
      </c>
      <c r="AC1706" s="170" t="str">
        <f t="shared" si="136"/>
        <v/>
      </c>
      <c r="AD1706" s="170" t="str">
        <f t="shared" si="137"/>
        <v/>
      </c>
    </row>
    <row r="1707" spans="1:30" s="170" customFormat="1" ht="20.399999999999999">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134"/>
        <v/>
      </c>
      <c r="T1707" s="155" t="str">
        <f ca="1">IF(B1707="","",IF(ISERROR(MATCH($J1707,SorP!$B$1:$B$6226,0)),"",INDIRECT("'SorP'!$A$"&amp;MATCH($S1707&amp;$J1707,SorP!C:C,0))))</f>
        <v/>
      </c>
      <c r="U1707" s="168"/>
      <c r="V1707" s="169" t="e">
        <f>IF(C1707="",NA(),MATCH($B1707&amp;$C1707,'Smelter Look-up'!$J:$J,0))</f>
        <v>#N/A</v>
      </c>
      <c r="X1707" s="170">
        <f t="shared" ca="1" si="133"/>
        <v>0</v>
      </c>
      <c r="AB1707" s="313" t="str">
        <f t="shared" si="135"/>
        <v/>
      </c>
      <c r="AC1707" s="170" t="str">
        <f t="shared" si="136"/>
        <v/>
      </c>
      <c r="AD1707" s="170" t="str">
        <f t="shared" si="137"/>
        <v/>
      </c>
    </row>
    <row r="1708" spans="1:30" s="170" customFormat="1" ht="20.399999999999999">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134"/>
        <v/>
      </c>
      <c r="T1708" s="155" t="str">
        <f ca="1">IF(B1708="","",IF(ISERROR(MATCH($J1708,SorP!$B$1:$B$6226,0)),"",INDIRECT("'SorP'!$A$"&amp;MATCH($S1708&amp;$J1708,SorP!C:C,0))))</f>
        <v/>
      </c>
      <c r="U1708" s="168"/>
      <c r="V1708" s="169" t="e">
        <f>IF(C1708="",NA(),MATCH($B1708&amp;$C1708,'Smelter Look-up'!$J:$J,0))</f>
        <v>#N/A</v>
      </c>
      <c r="X1708" s="170">
        <f t="shared" ca="1" si="133"/>
        <v>0</v>
      </c>
      <c r="AB1708" s="313" t="str">
        <f t="shared" si="135"/>
        <v/>
      </c>
      <c r="AC1708" s="170" t="str">
        <f t="shared" si="136"/>
        <v/>
      </c>
      <c r="AD1708" s="170" t="str">
        <f t="shared" si="137"/>
        <v/>
      </c>
    </row>
    <row r="1709" spans="1:30" s="170" customFormat="1" ht="20.399999999999999">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134"/>
        <v/>
      </c>
      <c r="T1709" s="155" t="str">
        <f ca="1">IF(B1709="","",IF(ISERROR(MATCH($J1709,SorP!$B$1:$B$6226,0)),"",INDIRECT("'SorP'!$A$"&amp;MATCH($S1709&amp;$J1709,SorP!C:C,0))))</f>
        <v/>
      </c>
      <c r="U1709" s="168"/>
      <c r="V1709" s="169" t="e">
        <f>IF(C1709="",NA(),MATCH($B1709&amp;$C1709,'Smelter Look-up'!$J:$J,0))</f>
        <v>#N/A</v>
      </c>
      <c r="X1709" s="170">
        <f t="shared" ca="1" si="133"/>
        <v>0</v>
      </c>
      <c r="AB1709" s="313" t="str">
        <f t="shared" si="135"/>
        <v/>
      </c>
      <c r="AC1709" s="170" t="str">
        <f t="shared" si="136"/>
        <v/>
      </c>
      <c r="AD1709" s="170" t="str">
        <f t="shared" si="137"/>
        <v/>
      </c>
    </row>
    <row r="1710" spans="1:30" s="170" customFormat="1" ht="20.399999999999999">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134"/>
        <v/>
      </c>
      <c r="T1710" s="155" t="str">
        <f ca="1">IF(B1710="","",IF(ISERROR(MATCH($J1710,SorP!$B$1:$B$6226,0)),"",INDIRECT("'SorP'!$A$"&amp;MATCH($S1710&amp;$J1710,SorP!C:C,0))))</f>
        <v/>
      </c>
      <c r="U1710" s="168"/>
      <c r="V1710" s="169" t="e">
        <f>IF(C1710="",NA(),MATCH($B1710&amp;$C1710,'Smelter Look-up'!$J:$J,0))</f>
        <v>#N/A</v>
      </c>
      <c r="X1710" s="170">
        <f t="shared" ca="1" si="133"/>
        <v>0</v>
      </c>
      <c r="AB1710" s="313" t="str">
        <f t="shared" si="135"/>
        <v/>
      </c>
      <c r="AC1710" s="170" t="str">
        <f t="shared" si="136"/>
        <v/>
      </c>
      <c r="AD1710" s="170" t="str">
        <f t="shared" si="137"/>
        <v/>
      </c>
    </row>
    <row r="1711" spans="1:30" s="170" customFormat="1" ht="20.399999999999999">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134"/>
        <v/>
      </c>
      <c r="T1711" s="155" t="str">
        <f ca="1">IF(B1711="","",IF(ISERROR(MATCH($J1711,SorP!$B$1:$B$6226,0)),"",INDIRECT("'SorP'!$A$"&amp;MATCH($S1711&amp;$J1711,SorP!C:C,0))))</f>
        <v/>
      </c>
      <c r="U1711" s="168"/>
      <c r="V1711" s="169" t="e">
        <f>IF(C1711="",NA(),MATCH($B1711&amp;$C1711,'Smelter Look-up'!$J:$J,0))</f>
        <v>#N/A</v>
      </c>
      <c r="X1711" s="170">
        <f t="shared" ca="1" si="133"/>
        <v>0</v>
      </c>
      <c r="AB1711" s="313" t="str">
        <f t="shared" si="135"/>
        <v/>
      </c>
      <c r="AC1711" s="170" t="str">
        <f t="shared" si="136"/>
        <v/>
      </c>
      <c r="AD1711" s="170" t="str">
        <f t="shared" si="137"/>
        <v/>
      </c>
    </row>
    <row r="1712" spans="1:30" s="170" customFormat="1" ht="20.399999999999999">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134"/>
        <v/>
      </c>
      <c r="T1712" s="155" t="str">
        <f ca="1">IF(B1712="","",IF(ISERROR(MATCH($J1712,SorP!$B$1:$B$6226,0)),"",INDIRECT("'SorP'!$A$"&amp;MATCH($S1712&amp;$J1712,SorP!C:C,0))))</f>
        <v/>
      </c>
      <c r="U1712" s="168"/>
      <c r="V1712" s="169" t="e">
        <f>IF(C1712="",NA(),MATCH($B1712&amp;$C1712,'Smelter Look-up'!$J:$J,0))</f>
        <v>#N/A</v>
      </c>
      <c r="X1712" s="170">
        <f t="shared" ca="1" si="133"/>
        <v>0</v>
      </c>
      <c r="AB1712" s="313" t="str">
        <f t="shared" si="135"/>
        <v/>
      </c>
      <c r="AC1712" s="170" t="str">
        <f t="shared" si="136"/>
        <v/>
      </c>
      <c r="AD1712" s="170" t="str">
        <f t="shared" si="137"/>
        <v/>
      </c>
    </row>
    <row r="1713" spans="1:30" s="170" customFormat="1" ht="20.399999999999999">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134"/>
        <v/>
      </c>
      <c r="T1713" s="155" t="str">
        <f ca="1">IF(B1713="","",IF(ISERROR(MATCH($J1713,SorP!$B$1:$B$6226,0)),"",INDIRECT("'SorP'!$A$"&amp;MATCH($S1713&amp;$J1713,SorP!C:C,0))))</f>
        <v/>
      </c>
      <c r="U1713" s="168"/>
      <c r="V1713" s="169" t="e">
        <f>IF(C1713="",NA(),MATCH($B1713&amp;$C1713,'Smelter Look-up'!$J:$J,0))</f>
        <v>#N/A</v>
      </c>
      <c r="X1713" s="170">
        <f t="shared" ca="1" si="133"/>
        <v>0</v>
      </c>
      <c r="AB1713" s="313" t="str">
        <f t="shared" si="135"/>
        <v/>
      </c>
      <c r="AC1713" s="170" t="str">
        <f t="shared" si="136"/>
        <v/>
      </c>
      <c r="AD1713" s="170" t="str">
        <f t="shared" si="137"/>
        <v/>
      </c>
    </row>
    <row r="1714" spans="1:30" s="170" customFormat="1" ht="20.399999999999999">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134"/>
        <v/>
      </c>
      <c r="T1714" s="155" t="str">
        <f ca="1">IF(B1714="","",IF(ISERROR(MATCH($J1714,SorP!$B$1:$B$6226,0)),"",INDIRECT("'SorP'!$A$"&amp;MATCH($S1714&amp;$J1714,SorP!C:C,0))))</f>
        <v/>
      </c>
      <c r="U1714" s="168"/>
      <c r="V1714" s="169" t="e">
        <f>IF(C1714="",NA(),MATCH($B1714&amp;$C1714,'Smelter Look-up'!$J:$J,0))</f>
        <v>#N/A</v>
      </c>
      <c r="X1714" s="170">
        <f t="shared" ca="1" si="133"/>
        <v>0</v>
      </c>
      <c r="AB1714" s="313" t="str">
        <f t="shared" si="135"/>
        <v/>
      </c>
      <c r="AC1714" s="170" t="str">
        <f t="shared" si="136"/>
        <v/>
      </c>
      <c r="AD1714" s="170" t="str">
        <f t="shared" si="137"/>
        <v/>
      </c>
    </row>
    <row r="1715" spans="1:30" s="170" customFormat="1" ht="20.399999999999999">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134"/>
        <v/>
      </c>
      <c r="T1715" s="155" t="str">
        <f ca="1">IF(B1715="","",IF(ISERROR(MATCH($J1715,SorP!$B$1:$B$6226,0)),"",INDIRECT("'SorP'!$A$"&amp;MATCH($S1715&amp;$J1715,SorP!C:C,0))))</f>
        <v/>
      </c>
      <c r="U1715" s="168"/>
      <c r="V1715" s="169" t="e">
        <f>IF(C1715="",NA(),MATCH($B1715&amp;$C1715,'Smelter Look-up'!$J:$J,0))</f>
        <v>#N/A</v>
      </c>
      <c r="X1715" s="170">
        <f t="shared" ca="1" si="133"/>
        <v>0</v>
      </c>
      <c r="AB1715" s="313" t="str">
        <f t="shared" si="135"/>
        <v/>
      </c>
      <c r="AC1715" s="170" t="str">
        <f t="shared" si="136"/>
        <v/>
      </c>
      <c r="AD1715" s="170" t="str">
        <f t="shared" si="137"/>
        <v/>
      </c>
    </row>
    <row r="1716" spans="1:30" s="170" customFormat="1" ht="20.399999999999999">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134"/>
        <v/>
      </c>
      <c r="T1716" s="155" t="str">
        <f ca="1">IF(B1716="","",IF(ISERROR(MATCH($J1716,SorP!$B$1:$B$6226,0)),"",INDIRECT("'SorP'!$A$"&amp;MATCH($S1716&amp;$J1716,SorP!C:C,0))))</f>
        <v/>
      </c>
      <c r="U1716" s="168"/>
      <c r="V1716" s="169" t="e">
        <f>IF(C1716="",NA(),MATCH($B1716&amp;$C1716,'Smelter Look-up'!$J:$J,0))</f>
        <v>#N/A</v>
      </c>
      <c r="X1716" s="170">
        <f t="shared" ca="1" si="133"/>
        <v>0</v>
      </c>
      <c r="AB1716" s="313" t="str">
        <f t="shared" si="135"/>
        <v/>
      </c>
      <c r="AC1716" s="170" t="str">
        <f t="shared" si="136"/>
        <v/>
      </c>
      <c r="AD1716" s="170" t="str">
        <f t="shared" si="137"/>
        <v/>
      </c>
    </row>
    <row r="1717" spans="1:30" s="170" customFormat="1" ht="20.399999999999999">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134"/>
        <v/>
      </c>
      <c r="T1717" s="155" t="str">
        <f ca="1">IF(B1717="","",IF(ISERROR(MATCH($J1717,SorP!$B$1:$B$6226,0)),"",INDIRECT("'SorP'!$A$"&amp;MATCH($S1717&amp;$J1717,SorP!C:C,0))))</f>
        <v/>
      </c>
      <c r="U1717" s="168"/>
      <c r="V1717" s="169" t="e">
        <f>IF(C1717="",NA(),MATCH($B1717&amp;$C1717,'Smelter Look-up'!$J:$J,0))</f>
        <v>#N/A</v>
      </c>
      <c r="X1717" s="170">
        <f t="shared" ca="1" si="133"/>
        <v>0</v>
      </c>
      <c r="AB1717" s="313" t="str">
        <f t="shared" si="135"/>
        <v/>
      </c>
      <c r="AC1717" s="170" t="str">
        <f t="shared" si="136"/>
        <v/>
      </c>
      <c r="AD1717" s="170" t="str">
        <f t="shared" si="137"/>
        <v/>
      </c>
    </row>
    <row r="1718" spans="1:30" s="170" customFormat="1" ht="20.399999999999999">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134"/>
        <v/>
      </c>
      <c r="T1718" s="155" t="str">
        <f ca="1">IF(B1718="","",IF(ISERROR(MATCH($J1718,SorP!$B$1:$B$6226,0)),"",INDIRECT("'SorP'!$A$"&amp;MATCH($S1718&amp;$J1718,SorP!C:C,0))))</f>
        <v/>
      </c>
      <c r="U1718" s="168"/>
      <c r="V1718" s="169" t="e">
        <f>IF(C1718="",NA(),MATCH($B1718&amp;$C1718,'Smelter Look-up'!$J:$J,0))</f>
        <v>#N/A</v>
      </c>
      <c r="X1718" s="170">
        <f t="shared" ca="1" si="133"/>
        <v>0</v>
      </c>
      <c r="AB1718" s="313" t="str">
        <f t="shared" si="135"/>
        <v/>
      </c>
      <c r="AC1718" s="170" t="str">
        <f t="shared" si="136"/>
        <v/>
      </c>
      <c r="AD1718" s="170" t="str">
        <f t="shared" si="137"/>
        <v/>
      </c>
    </row>
    <row r="1719" spans="1:30" s="170" customFormat="1" ht="20.399999999999999">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134"/>
        <v/>
      </c>
      <c r="T1719" s="155" t="str">
        <f ca="1">IF(B1719="","",IF(ISERROR(MATCH($J1719,SorP!$B$1:$B$6226,0)),"",INDIRECT("'SorP'!$A$"&amp;MATCH($S1719&amp;$J1719,SorP!C:C,0))))</f>
        <v/>
      </c>
      <c r="U1719" s="168"/>
      <c r="V1719" s="169" t="e">
        <f>IF(C1719="",NA(),MATCH($B1719&amp;$C1719,'Smelter Look-up'!$J:$J,0))</f>
        <v>#N/A</v>
      </c>
      <c r="X1719" s="170">
        <f t="shared" ca="1" si="133"/>
        <v>0</v>
      </c>
      <c r="AB1719" s="313" t="str">
        <f t="shared" si="135"/>
        <v/>
      </c>
      <c r="AC1719" s="170" t="str">
        <f t="shared" si="136"/>
        <v/>
      </c>
      <c r="AD1719" s="170" t="str">
        <f t="shared" si="137"/>
        <v/>
      </c>
    </row>
    <row r="1720" spans="1:30" s="170" customFormat="1" ht="20.399999999999999">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134"/>
        <v/>
      </c>
      <c r="T1720" s="155" t="str">
        <f ca="1">IF(B1720="","",IF(ISERROR(MATCH($J1720,SorP!$B$1:$B$6226,0)),"",INDIRECT("'SorP'!$A$"&amp;MATCH($S1720&amp;$J1720,SorP!C:C,0))))</f>
        <v/>
      </c>
      <c r="U1720" s="168"/>
      <c r="V1720" s="169" t="e">
        <f>IF(C1720="",NA(),MATCH($B1720&amp;$C1720,'Smelter Look-up'!$J:$J,0))</f>
        <v>#N/A</v>
      </c>
      <c r="X1720" s="170">
        <f t="shared" ca="1" si="133"/>
        <v>0</v>
      </c>
      <c r="AB1720" s="313" t="str">
        <f t="shared" si="135"/>
        <v/>
      </c>
      <c r="AC1720" s="170" t="str">
        <f t="shared" si="136"/>
        <v/>
      </c>
      <c r="AD1720" s="170" t="str">
        <f t="shared" si="137"/>
        <v/>
      </c>
    </row>
    <row r="1721" spans="1:30" s="170" customFormat="1" ht="20.399999999999999">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134"/>
        <v/>
      </c>
      <c r="T1721" s="155" t="str">
        <f ca="1">IF(B1721="","",IF(ISERROR(MATCH($J1721,SorP!$B$1:$B$6226,0)),"",INDIRECT("'SorP'!$A$"&amp;MATCH($S1721&amp;$J1721,SorP!C:C,0))))</f>
        <v/>
      </c>
      <c r="U1721" s="168"/>
      <c r="V1721" s="169" t="e">
        <f>IF(C1721="",NA(),MATCH($B1721&amp;$C1721,'Smelter Look-up'!$J:$J,0))</f>
        <v>#N/A</v>
      </c>
      <c r="X1721" s="170">
        <f t="shared" ca="1" si="133"/>
        <v>0</v>
      </c>
      <c r="AB1721" s="313" t="str">
        <f t="shared" si="135"/>
        <v/>
      </c>
      <c r="AC1721" s="170" t="str">
        <f t="shared" si="136"/>
        <v/>
      </c>
      <c r="AD1721" s="170" t="str">
        <f t="shared" si="137"/>
        <v/>
      </c>
    </row>
    <row r="1722" spans="1:30" s="170" customFormat="1" ht="20.399999999999999">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134"/>
        <v/>
      </c>
      <c r="T1722" s="155" t="str">
        <f ca="1">IF(B1722="","",IF(ISERROR(MATCH($J1722,SorP!$B$1:$B$6226,0)),"",INDIRECT("'SorP'!$A$"&amp;MATCH($S1722&amp;$J1722,SorP!C:C,0))))</f>
        <v/>
      </c>
      <c r="U1722" s="168"/>
      <c r="V1722" s="169" t="e">
        <f>IF(C1722="",NA(),MATCH($B1722&amp;$C1722,'Smelter Look-up'!$J:$J,0))</f>
        <v>#N/A</v>
      </c>
      <c r="X1722" s="170">
        <f t="shared" ca="1" si="133"/>
        <v>0</v>
      </c>
      <c r="AB1722" s="313" t="str">
        <f t="shared" si="135"/>
        <v/>
      </c>
      <c r="AC1722" s="170" t="str">
        <f t="shared" si="136"/>
        <v/>
      </c>
      <c r="AD1722" s="170" t="str">
        <f t="shared" si="137"/>
        <v/>
      </c>
    </row>
    <row r="1723" spans="1:30" s="170" customFormat="1" ht="20.399999999999999">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134"/>
        <v/>
      </c>
      <c r="T1723" s="155" t="str">
        <f ca="1">IF(B1723="","",IF(ISERROR(MATCH($J1723,SorP!$B$1:$B$6226,0)),"",INDIRECT("'SorP'!$A$"&amp;MATCH($S1723&amp;$J1723,SorP!C:C,0))))</f>
        <v/>
      </c>
      <c r="U1723" s="168"/>
      <c r="V1723" s="169" t="e">
        <f>IF(C1723="",NA(),MATCH($B1723&amp;$C1723,'Smelter Look-up'!$J:$J,0))</f>
        <v>#N/A</v>
      </c>
      <c r="X1723" s="170">
        <f t="shared" ca="1" si="133"/>
        <v>0</v>
      </c>
      <c r="AB1723" s="313" t="str">
        <f t="shared" si="135"/>
        <v/>
      </c>
      <c r="AC1723" s="170" t="str">
        <f t="shared" si="136"/>
        <v/>
      </c>
      <c r="AD1723" s="170" t="str">
        <f t="shared" si="137"/>
        <v/>
      </c>
    </row>
    <row r="1724" spans="1:30" s="170" customFormat="1" ht="20.399999999999999">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134"/>
        <v/>
      </c>
      <c r="T1724" s="155" t="str">
        <f ca="1">IF(B1724="","",IF(ISERROR(MATCH($J1724,SorP!$B$1:$B$6226,0)),"",INDIRECT("'SorP'!$A$"&amp;MATCH($S1724&amp;$J1724,SorP!C:C,0))))</f>
        <v/>
      </c>
      <c r="U1724" s="168"/>
      <c r="V1724" s="169" t="e">
        <f>IF(C1724="",NA(),MATCH($B1724&amp;$C1724,'Smelter Look-up'!$J:$J,0))</f>
        <v>#N/A</v>
      </c>
      <c r="X1724" s="170">
        <f t="shared" ca="1" si="133"/>
        <v>0</v>
      </c>
      <c r="AB1724" s="313" t="str">
        <f t="shared" si="135"/>
        <v/>
      </c>
      <c r="AC1724" s="170" t="str">
        <f t="shared" si="136"/>
        <v/>
      </c>
      <c r="AD1724" s="170" t="str">
        <f t="shared" si="137"/>
        <v/>
      </c>
    </row>
    <row r="1725" spans="1:30" s="170" customFormat="1" ht="20.399999999999999">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134"/>
        <v/>
      </c>
      <c r="T1725" s="155" t="str">
        <f ca="1">IF(B1725="","",IF(ISERROR(MATCH($J1725,SorP!$B$1:$B$6226,0)),"",INDIRECT("'SorP'!$A$"&amp;MATCH($S1725&amp;$J1725,SorP!C:C,0))))</f>
        <v/>
      </c>
      <c r="U1725" s="168"/>
      <c r="V1725" s="169" t="e">
        <f>IF(C1725="",NA(),MATCH($B1725&amp;$C1725,'Smelter Look-up'!$J:$J,0))</f>
        <v>#N/A</v>
      </c>
      <c r="X1725" s="170">
        <f t="shared" ca="1" si="133"/>
        <v>0</v>
      </c>
      <c r="AB1725" s="313" t="str">
        <f t="shared" si="135"/>
        <v/>
      </c>
      <c r="AC1725" s="170" t="str">
        <f t="shared" si="136"/>
        <v/>
      </c>
      <c r="AD1725" s="170" t="str">
        <f t="shared" si="137"/>
        <v/>
      </c>
    </row>
    <row r="1726" spans="1:30" s="170" customFormat="1" ht="20.399999999999999">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134"/>
        <v/>
      </c>
      <c r="T1726" s="155" t="str">
        <f ca="1">IF(B1726="","",IF(ISERROR(MATCH($J1726,SorP!$B$1:$B$6226,0)),"",INDIRECT("'SorP'!$A$"&amp;MATCH($S1726&amp;$J1726,SorP!C:C,0))))</f>
        <v/>
      </c>
      <c r="U1726" s="168"/>
      <c r="V1726" s="169" t="e">
        <f>IF(C1726="",NA(),MATCH($B1726&amp;$C1726,'Smelter Look-up'!$J:$J,0))</f>
        <v>#N/A</v>
      </c>
      <c r="X1726" s="170">
        <f t="shared" ca="1" si="133"/>
        <v>0</v>
      </c>
      <c r="AB1726" s="313" t="str">
        <f t="shared" si="135"/>
        <v/>
      </c>
      <c r="AC1726" s="170" t="str">
        <f t="shared" si="136"/>
        <v/>
      </c>
      <c r="AD1726" s="170" t="str">
        <f t="shared" si="137"/>
        <v/>
      </c>
    </row>
    <row r="1727" spans="1:30" s="170" customFormat="1" ht="20.399999999999999">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134"/>
        <v/>
      </c>
      <c r="T1727" s="155" t="str">
        <f ca="1">IF(B1727="","",IF(ISERROR(MATCH($J1727,SorP!$B$1:$B$6226,0)),"",INDIRECT("'SorP'!$A$"&amp;MATCH($S1727&amp;$J1727,SorP!C:C,0))))</f>
        <v/>
      </c>
      <c r="U1727" s="168"/>
      <c r="V1727" s="169" t="e">
        <f>IF(C1727="",NA(),MATCH($B1727&amp;$C1727,'Smelter Look-up'!$J:$J,0))</f>
        <v>#N/A</v>
      </c>
      <c r="X1727" s="170">
        <f t="shared" ref="X1727:X1790" ca="1" si="138">IF(AND(C1727="Smelter not listed",OR(LEN(D1727)=0,LEN(E1727)=0)),1,0)</f>
        <v>0</v>
      </c>
      <c r="AB1727" s="313" t="str">
        <f t="shared" si="135"/>
        <v/>
      </c>
      <c r="AC1727" s="170" t="str">
        <f t="shared" si="136"/>
        <v/>
      </c>
      <c r="AD1727" s="170" t="str">
        <f t="shared" si="137"/>
        <v/>
      </c>
    </row>
    <row r="1728" spans="1:30" s="170" customFormat="1" ht="20.399999999999999">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ref="S1728:S1791" ca="1" si="139">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138"/>
        <v>0</v>
      </c>
      <c r="AB1728" s="313" t="str">
        <f t="shared" si="135"/>
        <v/>
      </c>
      <c r="AC1728" s="170" t="str">
        <f t="shared" si="136"/>
        <v/>
      </c>
      <c r="AD1728" s="170" t="str">
        <f t="shared" si="137"/>
        <v/>
      </c>
    </row>
    <row r="1729" spans="1:30" s="170" customFormat="1" ht="20.399999999999999">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139"/>
        <v/>
      </c>
      <c r="T1729" s="155" t="str">
        <f ca="1">IF(B1729="","",IF(ISERROR(MATCH($J1729,SorP!$B$1:$B$6226,0)),"",INDIRECT("'SorP'!$A$"&amp;MATCH($S1729&amp;$J1729,SorP!C:C,0))))</f>
        <v/>
      </c>
      <c r="U1729" s="168"/>
      <c r="V1729" s="169" t="e">
        <f>IF(C1729="",NA(),MATCH($B1729&amp;$C1729,'Smelter Look-up'!$J:$J,0))</f>
        <v>#N/A</v>
      </c>
      <c r="X1729" s="170">
        <f t="shared" ca="1" si="138"/>
        <v>0</v>
      </c>
      <c r="AB1729" s="313" t="str">
        <f t="shared" si="135"/>
        <v/>
      </c>
      <c r="AC1729" s="170" t="str">
        <f t="shared" si="136"/>
        <v/>
      </c>
      <c r="AD1729" s="170" t="str">
        <f t="shared" si="137"/>
        <v/>
      </c>
    </row>
    <row r="1730" spans="1:30" s="170" customFormat="1" ht="20.399999999999999">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139"/>
        <v/>
      </c>
      <c r="T1730" s="155" t="str">
        <f ca="1">IF(B1730="","",IF(ISERROR(MATCH($J1730,SorP!$B$1:$B$6226,0)),"",INDIRECT("'SorP'!$A$"&amp;MATCH($S1730&amp;$J1730,SorP!C:C,0))))</f>
        <v/>
      </c>
      <c r="U1730" s="168"/>
      <c r="V1730" s="169" t="e">
        <f>IF(C1730="",NA(),MATCH($B1730&amp;$C1730,'Smelter Look-up'!$J:$J,0))</f>
        <v>#N/A</v>
      </c>
      <c r="X1730" s="170">
        <f t="shared" ca="1" si="138"/>
        <v>0</v>
      </c>
      <c r="AB1730" s="313" t="str">
        <f t="shared" si="135"/>
        <v/>
      </c>
      <c r="AC1730" s="170" t="str">
        <f t="shared" si="136"/>
        <v/>
      </c>
      <c r="AD1730" s="170" t="str">
        <f t="shared" si="137"/>
        <v/>
      </c>
    </row>
    <row r="1731" spans="1:30" s="170" customFormat="1" ht="20.399999999999999">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139"/>
        <v/>
      </c>
      <c r="T1731" s="155" t="str">
        <f ca="1">IF(B1731="","",IF(ISERROR(MATCH($J1731,SorP!$B$1:$B$6226,0)),"",INDIRECT("'SorP'!$A$"&amp;MATCH($S1731&amp;$J1731,SorP!C:C,0))))</f>
        <v/>
      </c>
      <c r="U1731" s="168"/>
      <c r="V1731" s="169" t="e">
        <f>IF(C1731="",NA(),MATCH($B1731&amp;$C1731,'Smelter Look-up'!$J:$J,0))</f>
        <v>#N/A</v>
      </c>
      <c r="X1731" s="170">
        <f t="shared" ca="1" si="138"/>
        <v>0</v>
      </c>
      <c r="AB1731" s="313" t="str">
        <f t="shared" si="135"/>
        <v/>
      </c>
      <c r="AC1731" s="170" t="str">
        <f t="shared" si="136"/>
        <v/>
      </c>
      <c r="AD1731" s="170" t="str">
        <f t="shared" si="137"/>
        <v/>
      </c>
    </row>
    <row r="1732" spans="1:30" s="170" customFormat="1" ht="20.399999999999999">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139"/>
        <v/>
      </c>
      <c r="T1732" s="155" t="str">
        <f ca="1">IF(B1732="","",IF(ISERROR(MATCH($J1732,SorP!$B$1:$B$6226,0)),"",INDIRECT("'SorP'!$A$"&amp;MATCH($S1732&amp;$J1732,SorP!C:C,0))))</f>
        <v/>
      </c>
      <c r="U1732" s="168"/>
      <c r="V1732" s="169" t="e">
        <f>IF(C1732="",NA(),MATCH($B1732&amp;$C1732,'Smelter Look-up'!$J:$J,0))</f>
        <v>#N/A</v>
      </c>
      <c r="X1732" s="170">
        <f t="shared" ca="1" si="138"/>
        <v>0</v>
      </c>
      <c r="AB1732" s="313" t="str">
        <f t="shared" si="135"/>
        <v/>
      </c>
      <c r="AC1732" s="170" t="str">
        <f t="shared" si="136"/>
        <v/>
      </c>
      <c r="AD1732" s="170" t="str">
        <f t="shared" si="137"/>
        <v/>
      </c>
    </row>
    <row r="1733" spans="1:30" s="170" customFormat="1" ht="20.399999999999999">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139"/>
        <v/>
      </c>
      <c r="T1733" s="155" t="str">
        <f ca="1">IF(B1733="","",IF(ISERROR(MATCH($J1733,SorP!$B$1:$B$6226,0)),"",INDIRECT("'SorP'!$A$"&amp;MATCH($S1733&amp;$J1733,SorP!C:C,0))))</f>
        <v/>
      </c>
      <c r="U1733" s="168"/>
      <c r="V1733" s="169" t="e">
        <f>IF(C1733="",NA(),MATCH($B1733&amp;$C1733,'Smelter Look-up'!$J:$J,0))</f>
        <v>#N/A</v>
      </c>
      <c r="X1733" s="170">
        <f t="shared" ca="1" si="138"/>
        <v>0</v>
      </c>
      <c r="AB1733" s="313" t="str">
        <f t="shared" si="135"/>
        <v/>
      </c>
      <c r="AC1733" s="170" t="str">
        <f t="shared" si="136"/>
        <v/>
      </c>
      <c r="AD1733" s="170" t="str">
        <f t="shared" si="137"/>
        <v/>
      </c>
    </row>
    <row r="1734" spans="1:30" s="170" customFormat="1" ht="20.399999999999999">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139"/>
        <v/>
      </c>
      <c r="T1734" s="155" t="str">
        <f ca="1">IF(B1734="","",IF(ISERROR(MATCH($J1734,SorP!$B$1:$B$6226,0)),"",INDIRECT("'SorP'!$A$"&amp;MATCH($S1734&amp;$J1734,SorP!C:C,0))))</f>
        <v/>
      </c>
      <c r="U1734" s="168"/>
      <c r="V1734" s="169" t="e">
        <f>IF(C1734="",NA(),MATCH($B1734&amp;$C1734,'Smelter Look-up'!$J:$J,0))</f>
        <v>#N/A</v>
      </c>
      <c r="X1734" s="170">
        <f t="shared" ca="1" si="138"/>
        <v>0</v>
      </c>
      <c r="AB1734" s="313" t="str">
        <f t="shared" ref="AB1734:AB1797" si="140">IF(C1734="","",B1734)</f>
        <v/>
      </c>
      <c r="AC1734" s="170" t="str">
        <f t="shared" ref="AC1734:AC1797" si="141">B1734</f>
        <v/>
      </c>
      <c r="AD1734" s="170" t="str">
        <f t="shared" ref="AD1734:AD1797" si="142">IF(C1734="Smelter not listed",D1734,C1734)</f>
        <v/>
      </c>
    </row>
    <row r="1735" spans="1:30" s="170" customFormat="1" ht="20.399999999999999">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139"/>
        <v/>
      </c>
      <c r="T1735" s="155" t="str">
        <f ca="1">IF(B1735="","",IF(ISERROR(MATCH($J1735,SorP!$B$1:$B$6226,0)),"",INDIRECT("'SorP'!$A$"&amp;MATCH($S1735&amp;$J1735,SorP!C:C,0))))</f>
        <v/>
      </c>
      <c r="U1735" s="168"/>
      <c r="V1735" s="169" t="e">
        <f>IF(C1735="",NA(),MATCH($B1735&amp;$C1735,'Smelter Look-up'!$J:$J,0))</f>
        <v>#N/A</v>
      </c>
      <c r="X1735" s="170">
        <f t="shared" ca="1" si="138"/>
        <v>0</v>
      </c>
      <c r="AB1735" s="313" t="str">
        <f t="shared" si="140"/>
        <v/>
      </c>
      <c r="AC1735" s="170" t="str">
        <f t="shared" si="141"/>
        <v/>
      </c>
      <c r="AD1735" s="170" t="str">
        <f t="shared" si="142"/>
        <v/>
      </c>
    </row>
    <row r="1736" spans="1:30" s="170" customFormat="1" ht="20.399999999999999">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139"/>
        <v/>
      </c>
      <c r="T1736" s="155" t="str">
        <f ca="1">IF(B1736="","",IF(ISERROR(MATCH($J1736,SorP!$B$1:$B$6226,0)),"",INDIRECT("'SorP'!$A$"&amp;MATCH($S1736&amp;$J1736,SorP!C:C,0))))</f>
        <v/>
      </c>
      <c r="U1736" s="168"/>
      <c r="V1736" s="169" t="e">
        <f>IF(C1736="",NA(),MATCH($B1736&amp;$C1736,'Smelter Look-up'!$J:$J,0))</f>
        <v>#N/A</v>
      </c>
      <c r="X1736" s="170">
        <f t="shared" ca="1" si="138"/>
        <v>0</v>
      </c>
      <c r="AB1736" s="313" t="str">
        <f t="shared" si="140"/>
        <v/>
      </c>
      <c r="AC1736" s="170" t="str">
        <f t="shared" si="141"/>
        <v/>
      </c>
      <c r="AD1736" s="170" t="str">
        <f t="shared" si="142"/>
        <v/>
      </c>
    </row>
    <row r="1737" spans="1:30" s="170" customFormat="1" ht="20.399999999999999">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139"/>
        <v/>
      </c>
      <c r="T1737" s="155" t="str">
        <f ca="1">IF(B1737="","",IF(ISERROR(MATCH($J1737,SorP!$B$1:$B$6226,0)),"",INDIRECT("'SorP'!$A$"&amp;MATCH($S1737&amp;$J1737,SorP!C:C,0))))</f>
        <v/>
      </c>
      <c r="U1737" s="168"/>
      <c r="V1737" s="169" t="e">
        <f>IF(C1737="",NA(),MATCH($B1737&amp;$C1737,'Smelter Look-up'!$J:$J,0))</f>
        <v>#N/A</v>
      </c>
      <c r="X1737" s="170">
        <f t="shared" ca="1" si="138"/>
        <v>0</v>
      </c>
      <c r="AB1737" s="313" t="str">
        <f t="shared" si="140"/>
        <v/>
      </c>
      <c r="AC1737" s="170" t="str">
        <f t="shared" si="141"/>
        <v/>
      </c>
      <c r="AD1737" s="170" t="str">
        <f t="shared" si="142"/>
        <v/>
      </c>
    </row>
    <row r="1738" spans="1:30" s="170" customFormat="1" ht="20.399999999999999">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139"/>
        <v/>
      </c>
      <c r="T1738" s="155" t="str">
        <f ca="1">IF(B1738="","",IF(ISERROR(MATCH($J1738,SorP!$B$1:$B$6226,0)),"",INDIRECT("'SorP'!$A$"&amp;MATCH($S1738&amp;$J1738,SorP!C:C,0))))</f>
        <v/>
      </c>
      <c r="U1738" s="168"/>
      <c r="V1738" s="169" t="e">
        <f>IF(C1738="",NA(),MATCH($B1738&amp;$C1738,'Smelter Look-up'!$J:$J,0))</f>
        <v>#N/A</v>
      </c>
      <c r="X1738" s="170">
        <f t="shared" ca="1" si="138"/>
        <v>0</v>
      </c>
      <c r="AB1738" s="313" t="str">
        <f t="shared" si="140"/>
        <v/>
      </c>
      <c r="AC1738" s="170" t="str">
        <f t="shared" si="141"/>
        <v/>
      </c>
      <c r="AD1738" s="170" t="str">
        <f t="shared" si="142"/>
        <v/>
      </c>
    </row>
    <row r="1739" spans="1:30" s="170" customFormat="1" ht="20.399999999999999">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139"/>
        <v/>
      </c>
      <c r="T1739" s="155" t="str">
        <f ca="1">IF(B1739="","",IF(ISERROR(MATCH($J1739,SorP!$B$1:$B$6226,0)),"",INDIRECT("'SorP'!$A$"&amp;MATCH($S1739&amp;$J1739,SorP!C:C,0))))</f>
        <v/>
      </c>
      <c r="U1739" s="168"/>
      <c r="V1739" s="169" t="e">
        <f>IF(C1739="",NA(),MATCH($B1739&amp;$C1739,'Smelter Look-up'!$J:$J,0))</f>
        <v>#N/A</v>
      </c>
      <c r="X1739" s="170">
        <f t="shared" ca="1" si="138"/>
        <v>0</v>
      </c>
      <c r="AB1739" s="313" t="str">
        <f t="shared" si="140"/>
        <v/>
      </c>
      <c r="AC1739" s="170" t="str">
        <f t="shared" si="141"/>
        <v/>
      </c>
      <c r="AD1739" s="170" t="str">
        <f t="shared" si="142"/>
        <v/>
      </c>
    </row>
    <row r="1740" spans="1:30" s="170" customFormat="1" ht="20.399999999999999">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139"/>
        <v/>
      </c>
      <c r="T1740" s="155" t="str">
        <f ca="1">IF(B1740="","",IF(ISERROR(MATCH($J1740,SorP!$B$1:$B$6226,0)),"",INDIRECT("'SorP'!$A$"&amp;MATCH($S1740&amp;$J1740,SorP!C:C,0))))</f>
        <v/>
      </c>
      <c r="U1740" s="168"/>
      <c r="V1740" s="169" t="e">
        <f>IF(C1740="",NA(),MATCH($B1740&amp;$C1740,'Smelter Look-up'!$J:$J,0))</f>
        <v>#N/A</v>
      </c>
      <c r="X1740" s="170">
        <f t="shared" ca="1" si="138"/>
        <v>0</v>
      </c>
      <c r="AB1740" s="313" t="str">
        <f t="shared" si="140"/>
        <v/>
      </c>
      <c r="AC1740" s="170" t="str">
        <f t="shared" si="141"/>
        <v/>
      </c>
      <c r="AD1740" s="170" t="str">
        <f t="shared" si="142"/>
        <v/>
      </c>
    </row>
    <row r="1741" spans="1:30" s="170" customFormat="1" ht="20.399999999999999">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139"/>
        <v/>
      </c>
      <c r="T1741" s="155" t="str">
        <f ca="1">IF(B1741="","",IF(ISERROR(MATCH($J1741,SorP!$B$1:$B$6226,0)),"",INDIRECT("'SorP'!$A$"&amp;MATCH($S1741&amp;$J1741,SorP!C:C,0))))</f>
        <v/>
      </c>
      <c r="U1741" s="168"/>
      <c r="V1741" s="169" t="e">
        <f>IF(C1741="",NA(),MATCH($B1741&amp;$C1741,'Smelter Look-up'!$J:$J,0))</f>
        <v>#N/A</v>
      </c>
      <c r="X1741" s="170">
        <f t="shared" ca="1" si="138"/>
        <v>0</v>
      </c>
      <c r="AB1741" s="313" t="str">
        <f t="shared" si="140"/>
        <v/>
      </c>
      <c r="AC1741" s="170" t="str">
        <f t="shared" si="141"/>
        <v/>
      </c>
      <c r="AD1741" s="170" t="str">
        <f t="shared" si="142"/>
        <v/>
      </c>
    </row>
    <row r="1742" spans="1:30" s="170" customFormat="1" ht="20.399999999999999">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139"/>
        <v/>
      </c>
      <c r="T1742" s="155" t="str">
        <f ca="1">IF(B1742="","",IF(ISERROR(MATCH($J1742,SorP!$B$1:$B$6226,0)),"",INDIRECT("'SorP'!$A$"&amp;MATCH($S1742&amp;$J1742,SorP!C:C,0))))</f>
        <v/>
      </c>
      <c r="U1742" s="168"/>
      <c r="V1742" s="169" t="e">
        <f>IF(C1742="",NA(),MATCH($B1742&amp;$C1742,'Smelter Look-up'!$J:$J,0))</f>
        <v>#N/A</v>
      </c>
      <c r="X1742" s="170">
        <f t="shared" ca="1" si="138"/>
        <v>0</v>
      </c>
      <c r="AB1742" s="313" t="str">
        <f t="shared" si="140"/>
        <v/>
      </c>
      <c r="AC1742" s="170" t="str">
        <f t="shared" si="141"/>
        <v/>
      </c>
      <c r="AD1742" s="170" t="str">
        <f t="shared" si="142"/>
        <v/>
      </c>
    </row>
    <row r="1743" spans="1:30" s="170" customFormat="1" ht="20.399999999999999">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139"/>
        <v/>
      </c>
      <c r="T1743" s="155" t="str">
        <f ca="1">IF(B1743="","",IF(ISERROR(MATCH($J1743,SorP!$B$1:$B$6226,0)),"",INDIRECT("'SorP'!$A$"&amp;MATCH($S1743&amp;$J1743,SorP!C:C,0))))</f>
        <v/>
      </c>
      <c r="U1743" s="168"/>
      <c r="V1743" s="169" t="e">
        <f>IF(C1743="",NA(),MATCH($B1743&amp;$C1743,'Smelter Look-up'!$J:$J,0))</f>
        <v>#N/A</v>
      </c>
      <c r="X1743" s="170">
        <f t="shared" ca="1" si="138"/>
        <v>0</v>
      </c>
      <c r="AB1743" s="313" t="str">
        <f t="shared" si="140"/>
        <v/>
      </c>
      <c r="AC1743" s="170" t="str">
        <f t="shared" si="141"/>
        <v/>
      </c>
      <c r="AD1743" s="170" t="str">
        <f t="shared" si="142"/>
        <v/>
      </c>
    </row>
    <row r="1744" spans="1:30" s="170" customFormat="1" ht="20.399999999999999">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139"/>
        <v/>
      </c>
      <c r="T1744" s="155" t="str">
        <f ca="1">IF(B1744="","",IF(ISERROR(MATCH($J1744,SorP!$B$1:$B$6226,0)),"",INDIRECT("'SorP'!$A$"&amp;MATCH($S1744&amp;$J1744,SorP!C:C,0))))</f>
        <v/>
      </c>
      <c r="U1744" s="168"/>
      <c r="V1744" s="169" t="e">
        <f>IF(C1744="",NA(),MATCH($B1744&amp;$C1744,'Smelter Look-up'!$J:$J,0))</f>
        <v>#N/A</v>
      </c>
      <c r="X1744" s="170">
        <f t="shared" ca="1" si="138"/>
        <v>0</v>
      </c>
      <c r="AB1744" s="313" t="str">
        <f t="shared" si="140"/>
        <v/>
      </c>
      <c r="AC1744" s="170" t="str">
        <f t="shared" si="141"/>
        <v/>
      </c>
      <c r="AD1744" s="170" t="str">
        <f t="shared" si="142"/>
        <v/>
      </c>
    </row>
    <row r="1745" spans="1:30" s="170" customFormat="1" ht="20.399999999999999">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139"/>
        <v/>
      </c>
      <c r="T1745" s="155" t="str">
        <f ca="1">IF(B1745="","",IF(ISERROR(MATCH($J1745,SorP!$B$1:$B$6226,0)),"",INDIRECT("'SorP'!$A$"&amp;MATCH($S1745&amp;$J1745,SorP!C:C,0))))</f>
        <v/>
      </c>
      <c r="U1745" s="168"/>
      <c r="V1745" s="169" t="e">
        <f>IF(C1745="",NA(),MATCH($B1745&amp;$C1745,'Smelter Look-up'!$J:$J,0))</f>
        <v>#N/A</v>
      </c>
      <c r="X1745" s="170">
        <f t="shared" ca="1" si="138"/>
        <v>0</v>
      </c>
      <c r="AB1745" s="313" t="str">
        <f t="shared" si="140"/>
        <v/>
      </c>
      <c r="AC1745" s="170" t="str">
        <f t="shared" si="141"/>
        <v/>
      </c>
      <c r="AD1745" s="170" t="str">
        <f t="shared" si="142"/>
        <v/>
      </c>
    </row>
    <row r="1746" spans="1:30" s="170" customFormat="1" ht="20.399999999999999">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139"/>
        <v/>
      </c>
      <c r="T1746" s="155" t="str">
        <f ca="1">IF(B1746="","",IF(ISERROR(MATCH($J1746,SorP!$B$1:$B$6226,0)),"",INDIRECT("'SorP'!$A$"&amp;MATCH($S1746&amp;$J1746,SorP!C:C,0))))</f>
        <v/>
      </c>
      <c r="U1746" s="168"/>
      <c r="V1746" s="169" t="e">
        <f>IF(C1746="",NA(),MATCH($B1746&amp;$C1746,'Smelter Look-up'!$J:$J,0))</f>
        <v>#N/A</v>
      </c>
      <c r="X1746" s="170">
        <f t="shared" ca="1" si="138"/>
        <v>0</v>
      </c>
      <c r="AB1746" s="313" t="str">
        <f t="shared" si="140"/>
        <v/>
      </c>
      <c r="AC1746" s="170" t="str">
        <f t="shared" si="141"/>
        <v/>
      </c>
      <c r="AD1746" s="170" t="str">
        <f t="shared" si="142"/>
        <v/>
      </c>
    </row>
    <row r="1747" spans="1:30" s="170" customFormat="1" ht="20.399999999999999">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139"/>
        <v/>
      </c>
      <c r="T1747" s="155" t="str">
        <f ca="1">IF(B1747="","",IF(ISERROR(MATCH($J1747,SorP!$B$1:$B$6226,0)),"",INDIRECT("'SorP'!$A$"&amp;MATCH($S1747&amp;$J1747,SorP!C:C,0))))</f>
        <v/>
      </c>
      <c r="U1747" s="168"/>
      <c r="V1747" s="169" t="e">
        <f>IF(C1747="",NA(),MATCH($B1747&amp;$C1747,'Smelter Look-up'!$J:$J,0))</f>
        <v>#N/A</v>
      </c>
      <c r="X1747" s="170">
        <f t="shared" ca="1" si="138"/>
        <v>0</v>
      </c>
      <c r="AB1747" s="313" t="str">
        <f t="shared" si="140"/>
        <v/>
      </c>
      <c r="AC1747" s="170" t="str">
        <f t="shared" si="141"/>
        <v/>
      </c>
      <c r="AD1747" s="170" t="str">
        <f t="shared" si="142"/>
        <v/>
      </c>
    </row>
    <row r="1748" spans="1:30" s="170" customFormat="1" ht="20.399999999999999">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139"/>
        <v/>
      </c>
      <c r="T1748" s="155" t="str">
        <f ca="1">IF(B1748="","",IF(ISERROR(MATCH($J1748,SorP!$B$1:$B$6226,0)),"",INDIRECT("'SorP'!$A$"&amp;MATCH($S1748&amp;$J1748,SorP!C:C,0))))</f>
        <v/>
      </c>
      <c r="U1748" s="168"/>
      <c r="V1748" s="169" t="e">
        <f>IF(C1748="",NA(),MATCH($B1748&amp;$C1748,'Smelter Look-up'!$J:$J,0))</f>
        <v>#N/A</v>
      </c>
      <c r="X1748" s="170">
        <f t="shared" ca="1" si="138"/>
        <v>0</v>
      </c>
      <c r="AB1748" s="313" t="str">
        <f t="shared" si="140"/>
        <v/>
      </c>
      <c r="AC1748" s="170" t="str">
        <f t="shared" si="141"/>
        <v/>
      </c>
      <c r="AD1748" s="170" t="str">
        <f t="shared" si="142"/>
        <v/>
      </c>
    </row>
    <row r="1749" spans="1:30" s="170" customFormat="1" ht="20.399999999999999">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139"/>
        <v/>
      </c>
      <c r="T1749" s="155" t="str">
        <f ca="1">IF(B1749="","",IF(ISERROR(MATCH($J1749,SorP!$B$1:$B$6226,0)),"",INDIRECT("'SorP'!$A$"&amp;MATCH($S1749&amp;$J1749,SorP!C:C,0))))</f>
        <v/>
      </c>
      <c r="U1749" s="168"/>
      <c r="V1749" s="169" t="e">
        <f>IF(C1749="",NA(),MATCH($B1749&amp;$C1749,'Smelter Look-up'!$J:$J,0))</f>
        <v>#N/A</v>
      </c>
      <c r="X1749" s="170">
        <f t="shared" ca="1" si="138"/>
        <v>0</v>
      </c>
      <c r="AB1749" s="313" t="str">
        <f t="shared" si="140"/>
        <v/>
      </c>
      <c r="AC1749" s="170" t="str">
        <f t="shared" si="141"/>
        <v/>
      </c>
      <c r="AD1749" s="170" t="str">
        <f t="shared" si="142"/>
        <v/>
      </c>
    </row>
    <row r="1750" spans="1:30" s="170" customFormat="1" ht="20.399999999999999">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139"/>
        <v/>
      </c>
      <c r="T1750" s="155" t="str">
        <f ca="1">IF(B1750="","",IF(ISERROR(MATCH($J1750,SorP!$B$1:$B$6226,0)),"",INDIRECT("'SorP'!$A$"&amp;MATCH($S1750&amp;$J1750,SorP!C:C,0))))</f>
        <v/>
      </c>
      <c r="U1750" s="168"/>
      <c r="V1750" s="169" t="e">
        <f>IF(C1750="",NA(),MATCH($B1750&amp;$C1750,'Smelter Look-up'!$J:$J,0))</f>
        <v>#N/A</v>
      </c>
      <c r="X1750" s="170">
        <f t="shared" ca="1" si="138"/>
        <v>0</v>
      </c>
      <c r="AB1750" s="313" t="str">
        <f t="shared" si="140"/>
        <v/>
      </c>
      <c r="AC1750" s="170" t="str">
        <f t="shared" si="141"/>
        <v/>
      </c>
      <c r="AD1750" s="170" t="str">
        <f t="shared" si="142"/>
        <v/>
      </c>
    </row>
    <row r="1751" spans="1:30" s="170" customFormat="1" ht="20.399999999999999">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139"/>
        <v/>
      </c>
      <c r="T1751" s="155" t="str">
        <f ca="1">IF(B1751="","",IF(ISERROR(MATCH($J1751,SorP!$B$1:$B$6226,0)),"",INDIRECT("'SorP'!$A$"&amp;MATCH($S1751&amp;$J1751,SorP!C:C,0))))</f>
        <v/>
      </c>
      <c r="U1751" s="168"/>
      <c r="V1751" s="169" t="e">
        <f>IF(C1751="",NA(),MATCH($B1751&amp;$C1751,'Smelter Look-up'!$J:$J,0))</f>
        <v>#N/A</v>
      </c>
      <c r="X1751" s="170">
        <f t="shared" ca="1" si="138"/>
        <v>0</v>
      </c>
      <c r="AB1751" s="313" t="str">
        <f t="shared" si="140"/>
        <v/>
      </c>
      <c r="AC1751" s="170" t="str">
        <f t="shared" si="141"/>
        <v/>
      </c>
      <c r="AD1751" s="170" t="str">
        <f t="shared" si="142"/>
        <v/>
      </c>
    </row>
    <row r="1752" spans="1:30" s="170" customFormat="1" ht="20.399999999999999">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139"/>
        <v/>
      </c>
      <c r="T1752" s="155" t="str">
        <f ca="1">IF(B1752="","",IF(ISERROR(MATCH($J1752,SorP!$B$1:$B$6226,0)),"",INDIRECT("'SorP'!$A$"&amp;MATCH($S1752&amp;$J1752,SorP!C:C,0))))</f>
        <v/>
      </c>
      <c r="U1752" s="168"/>
      <c r="V1752" s="169" t="e">
        <f>IF(C1752="",NA(),MATCH($B1752&amp;$C1752,'Smelter Look-up'!$J:$J,0))</f>
        <v>#N/A</v>
      </c>
      <c r="X1752" s="170">
        <f t="shared" ca="1" si="138"/>
        <v>0</v>
      </c>
      <c r="AB1752" s="313" t="str">
        <f t="shared" si="140"/>
        <v/>
      </c>
      <c r="AC1752" s="170" t="str">
        <f t="shared" si="141"/>
        <v/>
      </c>
      <c r="AD1752" s="170" t="str">
        <f t="shared" si="142"/>
        <v/>
      </c>
    </row>
    <row r="1753" spans="1:30" s="170" customFormat="1" ht="20.399999999999999">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139"/>
        <v/>
      </c>
      <c r="T1753" s="155" t="str">
        <f ca="1">IF(B1753="","",IF(ISERROR(MATCH($J1753,SorP!$B$1:$B$6226,0)),"",INDIRECT("'SorP'!$A$"&amp;MATCH($S1753&amp;$J1753,SorP!C:C,0))))</f>
        <v/>
      </c>
      <c r="U1753" s="168"/>
      <c r="V1753" s="169" t="e">
        <f>IF(C1753="",NA(),MATCH($B1753&amp;$C1753,'Smelter Look-up'!$J:$J,0))</f>
        <v>#N/A</v>
      </c>
      <c r="X1753" s="170">
        <f t="shared" ca="1" si="138"/>
        <v>0</v>
      </c>
      <c r="AB1753" s="313" t="str">
        <f t="shared" si="140"/>
        <v/>
      </c>
      <c r="AC1753" s="170" t="str">
        <f t="shared" si="141"/>
        <v/>
      </c>
      <c r="AD1753" s="170" t="str">
        <f t="shared" si="142"/>
        <v/>
      </c>
    </row>
    <row r="1754" spans="1:30" s="170" customFormat="1" ht="20.399999999999999">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139"/>
        <v/>
      </c>
      <c r="T1754" s="155" t="str">
        <f ca="1">IF(B1754="","",IF(ISERROR(MATCH($J1754,SorP!$B$1:$B$6226,0)),"",INDIRECT("'SorP'!$A$"&amp;MATCH($S1754&amp;$J1754,SorP!C:C,0))))</f>
        <v/>
      </c>
      <c r="U1754" s="168"/>
      <c r="V1754" s="169" t="e">
        <f>IF(C1754="",NA(),MATCH($B1754&amp;$C1754,'Smelter Look-up'!$J:$J,0))</f>
        <v>#N/A</v>
      </c>
      <c r="X1754" s="170">
        <f t="shared" ca="1" si="138"/>
        <v>0</v>
      </c>
      <c r="AB1754" s="313" t="str">
        <f t="shared" si="140"/>
        <v/>
      </c>
      <c r="AC1754" s="170" t="str">
        <f t="shared" si="141"/>
        <v/>
      </c>
      <c r="AD1754" s="170" t="str">
        <f t="shared" si="142"/>
        <v/>
      </c>
    </row>
    <row r="1755" spans="1:30" s="170" customFormat="1" ht="20.399999999999999">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139"/>
        <v/>
      </c>
      <c r="T1755" s="155" t="str">
        <f ca="1">IF(B1755="","",IF(ISERROR(MATCH($J1755,SorP!$B$1:$B$6226,0)),"",INDIRECT("'SorP'!$A$"&amp;MATCH($S1755&amp;$J1755,SorP!C:C,0))))</f>
        <v/>
      </c>
      <c r="U1755" s="168"/>
      <c r="V1755" s="169" t="e">
        <f>IF(C1755="",NA(),MATCH($B1755&amp;$C1755,'Smelter Look-up'!$J:$J,0))</f>
        <v>#N/A</v>
      </c>
      <c r="X1755" s="170">
        <f t="shared" ca="1" si="138"/>
        <v>0</v>
      </c>
      <c r="AB1755" s="313" t="str">
        <f t="shared" si="140"/>
        <v/>
      </c>
      <c r="AC1755" s="170" t="str">
        <f t="shared" si="141"/>
        <v/>
      </c>
      <c r="AD1755" s="170" t="str">
        <f t="shared" si="142"/>
        <v/>
      </c>
    </row>
    <row r="1756" spans="1:30" s="170" customFormat="1" ht="20.399999999999999">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139"/>
        <v/>
      </c>
      <c r="T1756" s="155" t="str">
        <f ca="1">IF(B1756="","",IF(ISERROR(MATCH($J1756,SorP!$B$1:$B$6226,0)),"",INDIRECT("'SorP'!$A$"&amp;MATCH($S1756&amp;$J1756,SorP!C:C,0))))</f>
        <v/>
      </c>
      <c r="U1756" s="168"/>
      <c r="V1756" s="169" t="e">
        <f>IF(C1756="",NA(),MATCH($B1756&amp;$C1756,'Smelter Look-up'!$J:$J,0))</f>
        <v>#N/A</v>
      </c>
      <c r="X1756" s="170">
        <f t="shared" ca="1" si="138"/>
        <v>0</v>
      </c>
      <c r="AB1756" s="313" t="str">
        <f t="shared" si="140"/>
        <v/>
      </c>
      <c r="AC1756" s="170" t="str">
        <f t="shared" si="141"/>
        <v/>
      </c>
      <c r="AD1756" s="170" t="str">
        <f t="shared" si="142"/>
        <v/>
      </c>
    </row>
    <row r="1757" spans="1:30" s="170" customFormat="1" ht="20.399999999999999">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139"/>
        <v/>
      </c>
      <c r="T1757" s="155" t="str">
        <f ca="1">IF(B1757="","",IF(ISERROR(MATCH($J1757,SorP!$B$1:$B$6226,0)),"",INDIRECT("'SorP'!$A$"&amp;MATCH($S1757&amp;$J1757,SorP!C:C,0))))</f>
        <v/>
      </c>
      <c r="U1757" s="168"/>
      <c r="V1757" s="169" t="e">
        <f>IF(C1757="",NA(),MATCH($B1757&amp;$C1757,'Smelter Look-up'!$J:$J,0))</f>
        <v>#N/A</v>
      </c>
      <c r="X1757" s="170">
        <f t="shared" ca="1" si="138"/>
        <v>0</v>
      </c>
      <c r="AB1757" s="313" t="str">
        <f t="shared" si="140"/>
        <v/>
      </c>
      <c r="AC1757" s="170" t="str">
        <f t="shared" si="141"/>
        <v/>
      </c>
      <c r="AD1757" s="170" t="str">
        <f t="shared" si="142"/>
        <v/>
      </c>
    </row>
    <row r="1758" spans="1:30" s="170" customFormat="1" ht="20.399999999999999">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139"/>
        <v/>
      </c>
      <c r="T1758" s="155" t="str">
        <f ca="1">IF(B1758="","",IF(ISERROR(MATCH($J1758,SorP!$B$1:$B$6226,0)),"",INDIRECT("'SorP'!$A$"&amp;MATCH($S1758&amp;$J1758,SorP!C:C,0))))</f>
        <v/>
      </c>
      <c r="U1758" s="168"/>
      <c r="V1758" s="169" t="e">
        <f>IF(C1758="",NA(),MATCH($B1758&amp;$C1758,'Smelter Look-up'!$J:$J,0))</f>
        <v>#N/A</v>
      </c>
      <c r="X1758" s="170">
        <f t="shared" ca="1" si="138"/>
        <v>0</v>
      </c>
      <c r="AB1758" s="313" t="str">
        <f t="shared" si="140"/>
        <v/>
      </c>
      <c r="AC1758" s="170" t="str">
        <f t="shared" si="141"/>
        <v/>
      </c>
      <c r="AD1758" s="170" t="str">
        <f t="shared" si="142"/>
        <v/>
      </c>
    </row>
    <row r="1759" spans="1:30" s="170" customFormat="1" ht="20.399999999999999">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139"/>
        <v/>
      </c>
      <c r="T1759" s="155" t="str">
        <f ca="1">IF(B1759="","",IF(ISERROR(MATCH($J1759,SorP!$B$1:$B$6226,0)),"",INDIRECT("'SorP'!$A$"&amp;MATCH($S1759&amp;$J1759,SorP!C:C,0))))</f>
        <v/>
      </c>
      <c r="U1759" s="168"/>
      <c r="V1759" s="169" t="e">
        <f>IF(C1759="",NA(),MATCH($B1759&amp;$C1759,'Smelter Look-up'!$J:$J,0))</f>
        <v>#N/A</v>
      </c>
      <c r="X1759" s="170">
        <f t="shared" ca="1" si="138"/>
        <v>0</v>
      </c>
      <c r="AB1759" s="313" t="str">
        <f t="shared" si="140"/>
        <v/>
      </c>
      <c r="AC1759" s="170" t="str">
        <f t="shared" si="141"/>
        <v/>
      </c>
      <c r="AD1759" s="170" t="str">
        <f t="shared" si="142"/>
        <v/>
      </c>
    </row>
    <row r="1760" spans="1:30" s="170" customFormat="1" ht="20.399999999999999">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139"/>
        <v/>
      </c>
      <c r="T1760" s="155" t="str">
        <f ca="1">IF(B1760="","",IF(ISERROR(MATCH($J1760,SorP!$B$1:$B$6226,0)),"",INDIRECT("'SorP'!$A$"&amp;MATCH($S1760&amp;$J1760,SorP!C:C,0))))</f>
        <v/>
      </c>
      <c r="U1760" s="168"/>
      <c r="V1760" s="169" t="e">
        <f>IF(C1760="",NA(),MATCH($B1760&amp;$C1760,'Smelter Look-up'!$J:$J,0))</f>
        <v>#N/A</v>
      </c>
      <c r="X1760" s="170">
        <f t="shared" ca="1" si="138"/>
        <v>0</v>
      </c>
      <c r="AB1760" s="313" t="str">
        <f t="shared" si="140"/>
        <v/>
      </c>
      <c r="AC1760" s="170" t="str">
        <f t="shared" si="141"/>
        <v/>
      </c>
      <c r="AD1760" s="170" t="str">
        <f t="shared" si="142"/>
        <v/>
      </c>
    </row>
    <row r="1761" spans="1:30" s="170" customFormat="1" ht="20.399999999999999">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139"/>
        <v/>
      </c>
      <c r="T1761" s="155" t="str">
        <f ca="1">IF(B1761="","",IF(ISERROR(MATCH($J1761,SorP!$B$1:$B$6226,0)),"",INDIRECT("'SorP'!$A$"&amp;MATCH($S1761&amp;$J1761,SorP!C:C,0))))</f>
        <v/>
      </c>
      <c r="U1761" s="168"/>
      <c r="V1761" s="169" t="e">
        <f>IF(C1761="",NA(),MATCH($B1761&amp;$C1761,'Smelter Look-up'!$J:$J,0))</f>
        <v>#N/A</v>
      </c>
      <c r="X1761" s="170">
        <f t="shared" ca="1" si="138"/>
        <v>0</v>
      </c>
      <c r="AB1761" s="313" t="str">
        <f t="shared" si="140"/>
        <v/>
      </c>
      <c r="AC1761" s="170" t="str">
        <f t="shared" si="141"/>
        <v/>
      </c>
      <c r="AD1761" s="170" t="str">
        <f t="shared" si="142"/>
        <v/>
      </c>
    </row>
    <row r="1762" spans="1:30" s="170" customFormat="1" ht="20.399999999999999">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139"/>
        <v/>
      </c>
      <c r="T1762" s="155" t="str">
        <f ca="1">IF(B1762="","",IF(ISERROR(MATCH($J1762,SorP!$B$1:$B$6226,0)),"",INDIRECT("'SorP'!$A$"&amp;MATCH($S1762&amp;$J1762,SorP!C:C,0))))</f>
        <v/>
      </c>
      <c r="U1762" s="168"/>
      <c r="V1762" s="169" t="e">
        <f>IF(C1762="",NA(),MATCH($B1762&amp;$C1762,'Smelter Look-up'!$J:$J,0))</f>
        <v>#N/A</v>
      </c>
      <c r="X1762" s="170">
        <f t="shared" ca="1" si="138"/>
        <v>0</v>
      </c>
      <c r="AB1762" s="313" t="str">
        <f t="shared" si="140"/>
        <v/>
      </c>
      <c r="AC1762" s="170" t="str">
        <f t="shared" si="141"/>
        <v/>
      </c>
      <c r="AD1762" s="170" t="str">
        <f t="shared" si="142"/>
        <v/>
      </c>
    </row>
    <row r="1763" spans="1:30" s="170" customFormat="1" ht="20.399999999999999">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139"/>
        <v/>
      </c>
      <c r="T1763" s="155" t="str">
        <f ca="1">IF(B1763="","",IF(ISERROR(MATCH($J1763,SorP!$B$1:$B$6226,0)),"",INDIRECT("'SorP'!$A$"&amp;MATCH($S1763&amp;$J1763,SorP!C:C,0))))</f>
        <v/>
      </c>
      <c r="U1763" s="168"/>
      <c r="V1763" s="169" t="e">
        <f>IF(C1763="",NA(),MATCH($B1763&amp;$C1763,'Smelter Look-up'!$J:$J,0))</f>
        <v>#N/A</v>
      </c>
      <c r="X1763" s="170">
        <f t="shared" ca="1" si="138"/>
        <v>0</v>
      </c>
      <c r="AB1763" s="313" t="str">
        <f t="shared" si="140"/>
        <v/>
      </c>
      <c r="AC1763" s="170" t="str">
        <f t="shared" si="141"/>
        <v/>
      </c>
      <c r="AD1763" s="170" t="str">
        <f t="shared" si="142"/>
        <v/>
      </c>
    </row>
    <row r="1764" spans="1:30" s="170" customFormat="1" ht="20.399999999999999">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139"/>
        <v/>
      </c>
      <c r="T1764" s="155" t="str">
        <f ca="1">IF(B1764="","",IF(ISERROR(MATCH($J1764,SorP!$B$1:$B$6226,0)),"",INDIRECT("'SorP'!$A$"&amp;MATCH($S1764&amp;$J1764,SorP!C:C,0))))</f>
        <v/>
      </c>
      <c r="U1764" s="168"/>
      <c r="V1764" s="169" t="e">
        <f>IF(C1764="",NA(),MATCH($B1764&amp;$C1764,'Smelter Look-up'!$J:$J,0))</f>
        <v>#N/A</v>
      </c>
      <c r="X1764" s="170">
        <f t="shared" ca="1" si="138"/>
        <v>0</v>
      </c>
      <c r="AB1764" s="313" t="str">
        <f t="shared" si="140"/>
        <v/>
      </c>
      <c r="AC1764" s="170" t="str">
        <f t="shared" si="141"/>
        <v/>
      </c>
      <c r="AD1764" s="170" t="str">
        <f t="shared" si="142"/>
        <v/>
      </c>
    </row>
    <row r="1765" spans="1:30" s="170" customFormat="1" ht="20.399999999999999">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139"/>
        <v/>
      </c>
      <c r="T1765" s="155" t="str">
        <f ca="1">IF(B1765="","",IF(ISERROR(MATCH($J1765,SorP!$B$1:$B$6226,0)),"",INDIRECT("'SorP'!$A$"&amp;MATCH($S1765&amp;$J1765,SorP!C:C,0))))</f>
        <v/>
      </c>
      <c r="U1765" s="168"/>
      <c r="V1765" s="169" t="e">
        <f>IF(C1765="",NA(),MATCH($B1765&amp;$C1765,'Smelter Look-up'!$J:$J,0))</f>
        <v>#N/A</v>
      </c>
      <c r="X1765" s="170">
        <f t="shared" ca="1" si="138"/>
        <v>0</v>
      </c>
      <c r="AB1765" s="313" t="str">
        <f t="shared" si="140"/>
        <v/>
      </c>
      <c r="AC1765" s="170" t="str">
        <f t="shared" si="141"/>
        <v/>
      </c>
      <c r="AD1765" s="170" t="str">
        <f t="shared" si="142"/>
        <v/>
      </c>
    </row>
    <row r="1766" spans="1:30" s="170" customFormat="1" ht="20.399999999999999">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139"/>
        <v/>
      </c>
      <c r="T1766" s="155" t="str">
        <f ca="1">IF(B1766="","",IF(ISERROR(MATCH($J1766,SorP!$B$1:$B$6226,0)),"",INDIRECT("'SorP'!$A$"&amp;MATCH($S1766&amp;$J1766,SorP!C:C,0))))</f>
        <v/>
      </c>
      <c r="U1766" s="168"/>
      <c r="V1766" s="169" t="e">
        <f>IF(C1766="",NA(),MATCH($B1766&amp;$C1766,'Smelter Look-up'!$J:$J,0))</f>
        <v>#N/A</v>
      </c>
      <c r="X1766" s="170">
        <f t="shared" ca="1" si="138"/>
        <v>0</v>
      </c>
      <c r="AB1766" s="313" t="str">
        <f t="shared" si="140"/>
        <v/>
      </c>
      <c r="AC1766" s="170" t="str">
        <f t="shared" si="141"/>
        <v/>
      </c>
      <c r="AD1766" s="170" t="str">
        <f t="shared" si="142"/>
        <v/>
      </c>
    </row>
    <row r="1767" spans="1:30" s="170" customFormat="1" ht="20.399999999999999">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139"/>
        <v/>
      </c>
      <c r="T1767" s="155" t="str">
        <f ca="1">IF(B1767="","",IF(ISERROR(MATCH($J1767,SorP!$B$1:$B$6226,0)),"",INDIRECT("'SorP'!$A$"&amp;MATCH($S1767&amp;$J1767,SorP!C:C,0))))</f>
        <v/>
      </c>
      <c r="U1767" s="168"/>
      <c r="V1767" s="169" t="e">
        <f>IF(C1767="",NA(),MATCH($B1767&amp;$C1767,'Smelter Look-up'!$J:$J,0))</f>
        <v>#N/A</v>
      </c>
      <c r="X1767" s="170">
        <f t="shared" ca="1" si="138"/>
        <v>0</v>
      </c>
      <c r="AB1767" s="313" t="str">
        <f t="shared" si="140"/>
        <v/>
      </c>
      <c r="AC1767" s="170" t="str">
        <f t="shared" si="141"/>
        <v/>
      </c>
      <c r="AD1767" s="170" t="str">
        <f t="shared" si="142"/>
        <v/>
      </c>
    </row>
    <row r="1768" spans="1:30" s="170" customFormat="1" ht="20.399999999999999">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139"/>
        <v/>
      </c>
      <c r="T1768" s="155" t="str">
        <f ca="1">IF(B1768="","",IF(ISERROR(MATCH($J1768,SorP!$B$1:$B$6226,0)),"",INDIRECT("'SorP'!$A$"&amp;MATCH($S1768&amp;$J1768,SorP!C:C,0))))</f>
        <v/>
      </c>
      <c r="U1768" s="168"/>
      <c r="V1768" s="169" t="e">
        <f>IF(C1768="",NA(),MATCH($B1768&amp;$C1768,'Smelter Look-up'!$J:$J,0))</f>
        <v>#N/A</v>
      </c>
      <c r="X1768" s="170">
        <f t="shared" ca="1" si="138"/>
        <v>0</v>
      </c>
      <c r="AB1768" s="313" t="str">
        <f t="shared" si="140"/>
        <v/>
      </c>
      <c r="AC1768" s="170" t="str">
        <f t="shared" si="141"/>
        <v/>
      </c>
      <c r="AD1768" s="170" t="str">
        <f t="shared" si="142"/>
        <v/>
      </c>
    </row>
    <row r="1769" spans="1:30" s="170" customFormat="1" ht="20.399999999999999">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139"/>
        <v/>
      </c>
      <c r="T1769" s="155" t="str">
        <f ca="1">IF(B1769="","",IF(ISERROR(MATCH($J1769,SorP!$B$1:$B$6226,0)),"",INDIRECT("'SorP'!$A$"&amp;MATCH($S1769&amp;$J1769,SorP!C:C,0))))</f>
        <v/>
      </c>
      <c r="U1769" s="168"/>
      <c r="V1769" s="169" t="e">
        <f>IF(C1769="",NA(),MATCH($B1769&amp;$C1769,'Smelter Look-up'!$J:$J,0))</f>
        <v>#N/A</v>
      </c>
      <c r="X1769" s="170">
        <f t="shared" ca="1" si="138"/>
        <v>0</v>
      </c>
      <c r="AB1769" s="313" t="str">
        <f t="shared" si="140"/>
        <v/>
      </c>
      <c r="AC1769" s="170" t="str">
        <f t="shared" si="141"/>
        <v/>
      </c>
      <c r="AD1769" s="170" t="str">
        <f t="shared" si="142"/>
        <v/>
      </c>
    </row>
    <row r="1770" spans="1:30" s="170" customFormat="1" ht="20.399999999999999">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139"/>
        <v/>
      </c>
      <c r="T1770" s="155" t="str">
        <f ca="1">IF(B1770="","",IF(ISERROR(MATCH($J1770,SorP!$B$1:$B$6226,0)),"",INDIRECT("'SorP'!$A$"&amp;MATCH($S1770&amp;$J1770,SorP!C:C,0))))</f>
        <v/>
      </c>
      <c r="U1770" s="168"/>
      <c r="V1770" s="169" t="e">
        <f>IF(C1770="",NA(),MATCH($B1770&amp;$C1770,'Smelter Look-up'!$J:$J,0))</f>
        <v>#N/A</v>
      </c>
      <c r="X1770" s="170">
        <f t="shared" ca="1" si="138"/>
        <v>0</v>
      </c>
      <c r="AB1770" s="313" t="str">
        <f t="shared" si="140"/>
        <v/>
      </c>
      <c r="AC1770" s="170" t="str">
        <f t="shared" si="141"/>
        <v/>
      </c>
      <c r="AD1770" s="170" t="str">
        <f t="shared" si="142"/>
        <v/>
      </c>
    </row>
    <row r="1771" spans="1:30" s="170" customFormat="1" ht="20.399999999999999">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139"/>
        <v/>
      </c>
      <c r="T1771" s="155" t="str">
        <f ca="1">IF(B1771="","",IF(ISERROR(MATCH($J1771,SorP!$B$1:$B$6226,0)),"",INDIRECT("'SorP'!$A$"&amp;MATCH($S1771&amp;$J1771,SorP!C:C,0))))</f>
        <v/>
      </c>
      <c r="U1771" s="168"/>
      <c r="V1771" s="169" t="e">
        <f>IF(C1771="",NA(),MATCH($B1771&amp;$C1771,'Smelter Look-up'!$J:$J,0))</f>
        <v>#N/A</v>
      </c>
      <c r="X1771" s="170">
        <f t="shared" ca="1" si="138"/>
        <v>0</v>
      </c>
      <c r="AB1771" s="313" t="str">
        <f t="shared" si="140"/>
        <v/>
      </c>
      <c r="AC1771" s="170" t="str">
        <f t="shared" si="141"/>
        <v/>
      </c>
      <c r="AD1771" s="170" t="str">
        <f t="shared" si="142"/>
        <v/>
      </c>
    </row>
    <row r="1772" spans="1:30" s="170" customFormat="1" ht="20.399999999999999">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139"/>
        <v/>
      </c>
      <c r="T1772" s="155" t="str">
        <f ca="1">IF(B1772="","",IF(ISERROR(MATCH($J1772,SorP!$B$1:$B$6226,0)),"",INDIRECT("'SorP'!$A$"&amp;MATCH($S1772&amp;$J1772,SorP!C:C,0))))</f>
        <v/>
      </c>
      <c r="U1772" s="168"/>
      <c r="V1772" s="169" t="e">
        <f>IF(C1772="",NA(),MATCH($B1772&amp;$C1772,'Smelter Look-up'!$J:$J,0))</f>
        <v>#N/A</v>
      </c>
      <c r="X1772" s="170">
        <f t="shared" ca="1" si="138"/>
        <v>0</v>
      </c>
      <c r="AB1772" s="313" t="str">
        <f t="shared" si="140"/>
        <v/>
      </c>
      <c r="AC1772" s="170" t="str">
        <f t="shared" si="141"/>
        <v/>
      </c>
      <c r="AD1772" s="170" t="str">
        <f t="shared" si="142"/>
        <v/>
      </c>
    </row>
    <row r="1773" spans="1:30" s="170" customFormat="1" ht="20.399999999999999">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139"/>
        <v/>
      </c>
      <c r="T1773" s="155" t="str">
        <f ca="1">IF(B1773="","",IF(ISERROR(MATCH($J1773,SorP!$B$1:$B$6226,0)),"",INDIRECT("'SorP'!$A$"&amp;MATCH($S1773&amp;$J1773,SorP!C:C,0))))</f>
        <v/>
      </c>
      <c r="U1773" s="168"/>
      <c r="V1773" s="169" t="e">
        <f>IF(C1773="",NA(),MATCH($B1773&amp;$C1773,'Smelter Look-up'!$J:$J,0))</f>
        <v>#N/A</v>
      </c>
      <c r="X1773" s="170">
        <f t="shared" ca="1" si="138"/>
        <v>0</v>
      </c>
      <c r="AB1773" s="313" t="str">
        <f t="shared" si="140"/>
        <v/>
      </c>
      <c r="AC1773" s="170" t="str">
        <f t="shared" si="141"/>
        <v/>
      </c>
      <c r="AD1773" s="170" t="str">
        <f t="shared" si="142"/>
        <v/>
      </c>
    </row>
    <row r="1774" spans="1:30" s="170" customFormat="1" ht="20.399999999999999">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139"/>
        <v/>
      </c>
      <c r="T1774" s="155" t="str">
        <f ca="1">IF(B1774="","",IF(ISERROR(MATCH($J1774,SorP!$B$1:$B$6226,0)),"",INDIRECT("'SorP'!$A$"&amp;MATCH($S1774&amp;$J1774,SorP!C:C,0))))</f>
        <v/>
      </c>
      <c r="U1774" s="168"/>
      <c r="V1774" s="169" t="e">
        <f>IF(C1774="",NA(),MATCH($B1774&amp;$C1774,'Smelter Look-up'!$J:$J,0))</f>
        <v>#N/A</v>
      </c>
      <c r="X1774" s="170">
        <f t="shared" ca="1" si="138"/>
        <v>0</v>
      </c>
      <c r="AB1774" s="313" t="str">
        <f t="shared" si="140"/>
        <v/>
      </c>
      <c r="AC1774" s="170" t="str">
        <f t="shared" si="141"/>
        <v/>
      </c>
      <c r="AD1774" s="170" t="str">
        <f t="shared" si="142"/>
        <v/>
      </c>
    </row>
    <row r="1775" spans="1:30" s="170" customFormat="1" ht="20.399999999999999">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139"/>
        <v/>
      </c>
      <c r="T1775" s="155" t="str">
        <f ca="1">IF(B1775="","",IF(ISERROR(MATCH($J1775,SorP!$B$1:$B$6226,0)),"",INDIRECT("'SorP'!$A$"&amp;MATCH($S1775&amp;$J1775,SorP!C:C,0))))</f>
        <v/>
      </c>
      <c r="U1775" s="168"/>
      <c r="V1775" s="169" t="e">
        <f>IF(C1775="",NA(),MATCH($B1775&amp;$C1775,'Smelter Look-up'!$J:$J,0))</f>
        <v>#N/A</v>
      </c>
      <c r="X1775" s="170">
        <f t="shared" ca="1" si="138"/>
        <v>0</v>
      </c>
      <c r="AB1775" s="313" t="str">
        <f t="shared" si="140"/>
        <v/>
      </c>
      <c r="AC1775" s="170" t="str">
        <f t="shared" si="141"/>
        <v/>
      </c>
      <c r="AD1775" s="170" t="str">
        <f t="shared" si="142"/>
        <v/>
      </c>
    </row>
    <row r="1776" spans="1:30" s="170" customFormat="1" ht="20.399999999999999">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139"/>
        <v/>
      </c>
      <c r="T1776" s="155" t="str">
        <f ca="1">IF(B1776="","",IF(ISERROR(MATCH($J1776,SorP!$B$1:$B$6226,0)),"",INDIRECT("'SorP'!$A$"&amp;MATCH($S1776&amp;$J1776,SorP!C:C,0))))</f>
        <v/>
      </c>
      <c r="U1776" s="168"/>
      <c r="V1776" s="169" t="e">
        <f>IF(C1776="",NA(),MATCH($B1776&amp;$C1776,'Smelter Look-up'!$J:$J,0))</f>
        <v>#N/A</v>
      </c>
      <c r="X1776" s="170">
        <f t="shared" ca="1" si="138"/>
        <v>0</v>
      </c>
      <c r="AB1776" s="313" t="str">
        <f t="shared" si="140"/>
        <v/>
      </c>
      <c r="AC1776" s="170" t="str">
        <f t="shared" si="141"/>
        <v/>
      </c>
      <c r="AD1776" s="170" t="str">
        <f t="shared" si="142"/>
        <v/>
      </c>
    </row>
    <row r="1777" spans="1:30" s="170" customFormat="1" ht="20.399999999999999">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139"/>
        <v/>
      </c>
      <c r="T1777" s="155" t="str">
        <f ca="1">IF(B1777="","",IF(ISERROR(MATCH($J1777,SorP!$B$1:$B$6226,0)),"",INDIRECT("'SorP'!$A$"&amp;MATCH($S1777&amp;$J1777,SorP!C:C,0))))</f>
        <v/>
      </c>
      <c r="U1777" s="168"/>
      <c r="V1777" s="169" t="e">
        <f>IF(C1777="",NA(),MATCH($B1777&amp;$C1777,'Smelter Look-up'!$J:$J,0))</f>
        <v>#N/A</v>
      </c>
      <c r="X1777" s="170">
        <f t="shared" ca="1" si="138"/>
        <v>0</v>
      </c>
      <c r="AB1777" s="313" t="str">
        <f t="shared" si="140"/>
        <v/>
      </c>
      <c r="AC1777" s="170" t="str">
        <f t="shared" si="141"/>
        <v/>
      </c>
      <c r="AD1777" s="170" t="str">
        <f t="shared" si="142"/>
        <v/>
      </c>
    </row>
    <row r="1778" spans="1:30" s="170" customFormat="1" ht="20.399999999999999">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139"/>
        <v/>
      </c>
      <c r="T1778" s="155" t="str">
        <f ca="1">IF(B1778="","",IF(ISERROR(MATCH($J1778,SorP!$B$1:$B$6226,0)),"",INDIRECT("'SorP'!$A$"&amp;MATCH($S1778&amp;$J1778,SorP!C:C,0))))</f>
        <v/>
      </c>
      <c r="U1778" s="168"/>
      <c r="V1778" s="169" t="e">
        <f>IF(C1778="",NA(),MATCH($B1778&amp;$C1778,'Smelter Look-up'!$J:$J,0))</f>
        <v>#N/A</v>
      </c>
      <c r="X1778" s="170">
        <f t="shared" ca="1" si="138"/>
        <v>0</v>
      </c>
      <c r="AB1778" s="313" t="str">
        <f t="shared" si="140"/>
        <v/>
      </c>
      <c r="AC1778" s="170" t="str">
        <f t="shared" si="141"/>
        <v/>
      </c>
      <c r="AD1778" s="170" t="str">
        <f t="shared" si="142"/>
        <v/>
      </c>
    </row>
    <row r="1779" spans="1:30" s="170" customFormat="1" ht="20.399999999999999">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139"/>
        <v/>
      </c>
      <c r="T1779" s="155" t="str">
        <f ca="1">IF(B1779="","",IF(ISERROR(MATCH($J1779,SorP!$B$1:$B$6226,0)),"",INDIRECT("'SorP'!$A$"&amp;MATCH($S1779&amp;$J1779,SorP!C:C,0))))</f>
        <v/>
      </c>
      <c r="U1779" s="168"/>
      <c r="V1779" s="169" t="e">
        <f>IF(C1779="",NA(),MATCH($B1779&amp;$C1779,'Smelter Look-up'!$J:$J,0))</f>
        <v>#N/A</v>
      </c>
      <c r="X1779" s="170">
        <f t="shared" ca="1" si="138"/>
        <v>0</v>
      </c>
      <c r="AB1779" s="313" t="str">
        <f t="shared" si="140"/>
        <v/>
      </c>
      <c r="AC1779" s="170" t="str">
        <f t="shared" si="141"/>
        <v/>
      </c>
      <c r="AD1779" s="170" t="str">
        <f t="shared" si="142"/>
        <v/>
      </c>
    </row>
    <row r="1780" spans="1:30" s="170" customFormat="1" ht="20.399999999999999">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139"/>
        <v/>
      </c>
      <c r="T1780" s="155" t="str">
        <f ca="1">IF(B1780="","",IF(ISERROR(MATCH($J1780,SorP!$B$1:$B$6226,0)),"",INDIRECT("'SorP'!$A$"&amp;MATCH($S1780&amp;$J1780,SorP!C:C,0))))</f>
        <v/>
      </c>
      <c r="U1780" s="168"/>
      <c r="V1780" s="169" t="e">
        <f>IF(C1780="",NA(),MATCH($B1780&amp;$C1780,'Smelter Look-up'!$J:$J,0))</f>
        <v>#N/A</v>
      </c>
      <c r="X1780" s="170">
        <f t="shared" ca="1" si="138"/>
        <v>0</v>
      </c>
      <c r="AB1780" s="313" t="str">
        <f t="shared" si="140"/>
        <v/>
      </c>
      <c r="AC1780" s="170" t="str">
        <f t="shared" si="141"/>
        <v/>
      </c>
      <c r="AD1780" s="170" t="str">
        <f t="shared" si="142"/>
        <v/>
      </c>
    </row>
    <row r="1781" spans="1:30" s="170" customFormat="1" ht="20.399999999999999">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139"/>
        <v/>
      </c>
      <c r="T1781" s="155" t="str">
        <f ca="1">IF(B1781="","",IF(ISERROR(MATCH($J1781,SorP!$B$1:$B$6226,0)),"",INDIRECT("'SorP'!$A$"&amp;MATCH($S1781&amp;$J1781,SorP!C:C,0))))</f>
        <v/>
      </c>
      <c r="U1781" s="168"/>
      <c r="V1781" s="169" t="e">
        <f>IF(C1781="",NA(),MATCH($B1781&amp;$C1781,'Smelter Look-up'!$J:$J,0))</f>
        <v>#N/A</v>
      </c>
      <c r="X1781" s="170">
        <f t="shared" ca="1" si="138"/>
        <v>0</v>
      </c>
      <c r="AB1781" s="313" t="str">
        <f t="shared" si="140"/>
        <v/>
      </c>
      <c r="AC1781" s="170" t="str">
        <f t="shared" si="141"/>
        <v/>
      </c>
      <c r="AD1781" s="170" t="str">
        <f t="shared" si="142"/>
        <v/>
      </c>
    </row>
    <row r="1782" spans="1:30" s="170" customFormat="1" ht="20.399999999999999">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139"/>
        <v/>
      </c>
      <c r="T1782" s="155" t="str">
        <f ca="1">IF(B1782="","",IF(ISERROR(MATCH($J1782,SorP!$B$1:$B$6226,0)),"",INDIRECT("'SorP'!$A$"&amp;MATCH($S1782&amp;$J1782,SorP!C:C,0))))</f>
        <v/>
      </c>
      <c r="U1782" s="168"/>
      <c r="V1782" s="169" t="e">
        <f>IF(C1782="",NA(),MATCH($B1782&amp;$C1782,'Smelter Look-up'!$J:$J,0))</f>
        <v>#N/A</v>
      </c>
      <c r="X1782" s="170">
        <f t="shared" ca="1" si="138"/>
        <v>0</v>
      </c>
      <c r="AB1782" s="313" t="str">
        <f t="shared" si="140"/>
        <v/>
      </c>
      <c r="AC1782" s="170" t="str">
        <f t="shared" si="141"/>
        <v/>
      </c>
      <c r="AD1782" s="170" t="str">
        <f t="shared" si="142"/>
        <v/>
      </c>
    </row>
    <row r="1783" spans="1:30" s="170" customFormat="1" ht="20.399999999999999">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139"/>
        <v/>
      </c>
      <c r="T1783" s="155" t="str">
        <f ca="1">IF(B1783="","",IF(ISERROR(MATCH($J1783,SorP!$B$1:$B$6226,0)),"",INDIRECT("'SorP'!$A$"&amp;MATCH($S1783&amp;$J1783,SorP!C:C,0))))</f>
        <v/>
      </c>
      <c r="U1783" s="168"/>
      <c r="V1783" s="169" t="e">
        <f>IF(C1783="",NA(),MATCH($B1783&amp;$C1783,'Smelter Look-up'!$J:$J,0))</f>
        <v>#N/A</v>
      </c>
      <c r="X1783" s="170">
        <f t="shared" ca="1" si="138"/>
        <v>0</v>
      </c>
      <c r="AB1783" s="313" t="str">
        <f t="shared" si="140"/>
        <v/>
      </c>
      <c r="AC1783" s="170" t="str">
        <f t="shared" si="141"/>
        <v/>
      </c>
      <c r="AD1783" s="170" t="str">
        <f t="shared" si="142"/>
        <v/>
      </c>
    </row>
    <row r="1784" spans="1:30" s="170" customFormat="1" ht="20.399999999999999">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139"/>
        <v/>
      </c>
      <c r="T1784" s="155" t="str">
        <f ca="1">IF(B1784="","",IF(ISERROR(MATCH($J1784,SorP!$B$1:$B$6226,0)),"",INDIRECT("'SorP'!$A$"&amp;MATCH($S1784&amp;$J1784,SorP!C:C,0))))</f>
        <v/>
      </c>
      <c r="U1784" s="168"/>
      <c r="V1784" s="169" t="e">
        <f>IF(C1784="",NA(),MATCH($B1784&amp;$C1784,'Smelter Look-up'!$J:$J,0))</f>
        <v>#N/A</v>
      </c>
      <c r="X1784" s="170">
        <f t="shared" ca="1" si="138"/>
        <v>0</v>
      </c>
      <c r="AB1784" s="313" t="str">
        <f t="shared" si="140"/>
        <v/>
      </c>
      <c r="AC1784" s="170" t="str">
        <f t="shared" si="141"/>
        <v/>
      </c>
      <c r="AD1784" s="170" t="str">
        <f t="shared" si="142"/>
        <v/>
      </c>
    </row>
    <row r="1785" spans="1:30" s="170" customFormat="1" ht="20.399999999999999">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139"/>
        <v/>
      </c>
      <c r="T1785" s="155" t="str">
        <f ca="1">IF(B1785="","",IF(ISERROR(MATCH($J1785,SorP!$B$1:$B$6226,0)),"",INDIRECT("'SorP'!$A$"&amp;MATCH($S1785&amp;$J1785,SorP!C:C,0))))</f>
        <v/>
      </c>
      <c r="U1785" s="168"/>
      <c r="V1785" s="169" t="e">
        <f>IF(C1785="",NA(),MATCH($B1785&amp;$C1785,'Smelter Look-up'!$J:$J,0))</f>
        <v>#N/A</v>
      </c>
      <c r="X1785" s="170">
        <f t="shared" ca="1" si="138"/>
        <v>0</v>
      </c>
      <c r="AB1785" s="313" t="str">
        <f t="shared" si="140"/>
        <v/>
      </c>
      <c r="AC1785" s="170" t="str">
        <f t="shared" si="141"/>
        <v/>
      </c>
      <c r="AD1785" s="170" t="str">
        <f t="shared" si="142"/>
        <v/>
      </c>
    </row>
    <row r="1786" spans="1:30" s="170" customFormat="1" ht="20.399999999999999">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139"/>
        <v/>
      </c>
      <c r="T1786" s="155" t="str">
        <f ca="1">IF(B1786="","",IF(ISERROR(MATCH($J1786,SorP!$B$1:$B$6226,0)),"",INDIRECT("'SorP'!$A$"&amp;MATCH($S1786&amp;$J1786,SorP!C:C,0))))</f>
        <v/>
      </c>
      <c r="U1786" s="168"/>
      <c r="V1786" s="169" t="e">
        <f>IF(C1786="",NA(),MATCH($B1786&amp;$C1786,'Smelter Look-up'!$J:$J,0))</f>
        <v>#N/A</v>
      </c>
      <c r="X1786" s="170">
        <f t="shared" ca="1" si="138"/>
        <v>0</v>
      </c>
      <c r="AB1786" s="313" t="str">
        <f t="shared" si="140"/>
        <v/>
      </c>
      <c r="AC1786" s="170" t="str">
        <f t="shared" si="141"/>
        <v/>
      </c>
      <c r="AD1786" s="170" t="str">
        <f t="shared" si="142"/>
        <v/>
      </c>
    </row>
    <row r="1787" spans="1:30" s="170" customFormat="1" ht="20.399999999999999">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139"/>
        <v/>
      </c>
      <c r="T1787" s="155" t="str">
        <f ca="1">IF(B1787="","",IF(ISERROR(MATCH($J1787,SorP!$B$1:$B$6226,0)),"",INDIRECT("'SorP'!$A$"&amp;MATCH($S1787&amp;$J1787,SorP!C:C,0))))</f>
        <v/>
      </c>
      <c r="U1787" s="168"/>
      <c r="V1787" s="169" t="e">
        <f>IF(C1787="",NA(),MATCH($B1787&amp;$C1787,'Smelter Look-up'!$J:$J,0))</f>
        <v>#N/A</v>
      </c>
      <c r="X1787" s="170">
        <f t="shared" ca="1" si="138"/>
        <v>0</v>
      </c>
      <c r="AB1787" s="313" t="str">
        <f t="shared" si="140"/>
        <v/>
      </c>
      <c r="AC1787" s="170" t="str">
        <f t="shared" si="141"/>
        <v/>
      </c>
      <c r="AD1787" s="170" t="str">
        <f t="shared" si="142"/>
        <v/>
      </c>
    </row>
    <row r="1788" spans="1:30" s="170" customFormat="1" ht="20.399999999999999">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139"/>
        <v/>
      </c>
      <c r="T1788" s="155" t="str">
        <f ca="1">IF(B1788="","",IF(ISERROR(MATCH($J1788,SorP!$B$1:$B$6226,0)),"",INDIRECT("'SorP'!$A$"&amp;MATCH($S1788&amp;$J1788,SorP!C:C,0))))</f>
        <v/>
      </c>
      <c r="U1788" s="168"/>
      <c r="V1788" s="169" t="e">
        <f>IF(C1788="",NA(),MATCH($B1788&amp;$C1788,'Smelter Look-up'!$J:$J,0))</f>
        <v>#N/A</v>
      </c>
      <c r="X1788" s="170">
        <f t="shared" ca="1" si="138"/>
        <v>0</v>
      </c>
      <c r="AB1788" s="313" t="str">
        <f t="shared" si="140"/>
        <v/>
      </c>
      <c r="AC1788" s="170" t="str">
        <f t="shared" si="141"/>
        <v/>
      </c>
      <c r="AD1788" s="170" t="str">
        <f t="shared" si="142"/>
        <v/>
      </c>
    </row>
    <row r="1789" spans="1:30" s="170" customFormat="1" ht="20.399999999999999">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139"/>
        <v/>
      </c>
      <c r="T1789" s="155" t="str">
        <f ca="1">IF(B1789="","",IF(ISERROR(MATCH($J1789,SorP!$B$1:$B$6226,0)),"",INDIRECT("'SorP'!$A$"&amp;MATCH($S1789&amp;$J1789,SorP!C:C,0))))</f>
        <v/>
      </c>
      <c r="U1789" s="168"/>
      <c r="V1789" s="169" t="e">
        <f>IF(C1789="",NA(),MATCH($B1789&amp;$C1789,'Smelter Look-up'!$J:$J,0))</f>
        <v>#N/A</v>
      </c>
      <c r="X1789" s="170">
        <f t="shared" ca="1" si="138"/>
        <v>0</v>
      </c>
      <c r="AB1789" s="313" t="str">
        <f t="shared" si="140"/>
        <v/>
      </c>
      <c r="AC1789" s="170" t="str">
        <f t="shared" si="141"/>
        <v/>
      </c>
      <c r="AD1789" s="170" t="str">
        <f t="shared" si="142"/>
        <v/>
      </c>
    </row>
    <row r="1790" spans="1:30" s="170" customFormat="1" ht="20.399999999999999">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139"/>
        <v/>
      </c>
      <c r="T1790" s="155" t="str">
        <f ca="1">IF(B1790="","",IF(ISERROR(MATCH($J1790,SorP!$B$1:$B$6226,0)),"",INDIRECT("'SorP'!$A$"&amp;MATCH($S1790&amp;$J1790,SorP!C:C,0))))</f>
        <v/>
      </c>
      <c r="U1790" s="168"/>
      <c r="V1790" s="169" t="e">
        <f>IF(C1790="",NA(),MATCH($B1790&amp;$C1790,'Smelter Look-up'!$J:$J,0))</f>
        <v>#N/A</v>
      </c>
      <c r="X1790" s="170">
        <f t="shared" ca="1" si="138"/>
        <v>0</v>
      </c>
      <c r="AB1790" s="313" t="str">
        <f t="shared" si="140"/>
        <v/>
      </c>
      <c r="AC1790" s="170" t="str">
        <f t="shared" si="141"/>
        <v/>
      </c>
      <c r="AD1790" s="170" t="str">
        <f t="shared" si="142"/>
        <v/>
      </c>
    </row>
    <row r="1791" spans="1:30" s="170" customFormat="1" ht="20.399999999999999">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139"/>
        <v/>
      </c>
      <c r="T1791" s="155" t="str">
        <f ca="1">IF(B1791="","",IF(ISERROR(MATCH($J1791,SorP!$B$1:$B$6226,0)),"",INDIRECT("'SorP'!$A$"&amp;MATCH($S1791&amp;$J1791,SorP!C:C,0))))</f>
        <v/>
      </c>
      <c r="U1791" s="168"/>
      <c r="V1791" s="169" t="e">
        <f>IF(C1791="",NA(),MATCH($B1791&amp;$C1791,'Smelter Look-up'!$J:$J,0))</f>
        <v>#N/A</v>
      </c>
      <c r="X1791" s="170">
        <f t="shared" ref="X1791:X1854" ca="1" si="143">IF(AND(C1791="Smelter not listed",OR(LEN(D1791)=0,LEN(E1791)=0)),1,0)</f>
        <v>0</v>
      </c>
      <c r="AB1791" s="313" t="str">
        <f t="shared" si="140"/>
        <v/>
      </c>
      <c r="AC1791" s="170" t="str">
        <f t="shared" si="141"/>
        <v/>
      </c>
      <c r="AD1791" s="170" t="str">
        <f t="shared" si="142"/>
        <v/>
      </c>
    </row>
    <row r="1792" spans="1:30" s="170" customFormat="1" ht="20.399999999999999">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ref="S1792:S1855" ca="1" si="144">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143"/>
        <v>0</v>
      </c>
      <c r="AB1792" s="313" t="str">
        <f t="shared" si="140"/>
        <v/>
      </c>
      <c r="AC1792" s="170" t="str">
        <f t="shared" si="141"/>
        <v/>
      </c>
      <c r="AD1792" s="170" t="str">
        <f t="shared" si="142"/>
        <v/>
      </c>
    </row>
    <row r="1793" spans="1:30" s="170" customFormat="1" ht="20.399999999999999">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144"/>
        <v/>
      </c>
      <c r="T1793" s="155" t="str">
        <f ca="1">IF(B1793="","",IF(ISERROR(MATCH($J1793,SorP!$B$1:$B$6226,0)),"",INDIRECT("'SorP'!$A$"&amp;MATCH($S1793&amp;$J1793,SorP!C:C,0))))</f>
        <v/>
      </c>
      <c r="U1793" s="168"/>
      <c r="V1793" s="169" t="e">
        <f>IF(C1793="",NA(),MATCH($B1793&amp;$C1793,'Smelter Look-up'!$J:$J,0))</f>
        <v>#N/A</v>
      </c>
      <c r="X1793" s="170">
        <f t="shared" ca="1" si="143"/>
        <v>0</v>
      </c>
      <c r="AB1793" s="313" t="str">
        <f t="shared" si="140"/>
        <v/>
      </c>
      <c r="AC1793" s="170" t="str">
        <f t="shared" si="141"/>
        <v/>
      </c>
      <c r="AD1793" s="170" t="str">
        <f t="shared" si="142"/>
        <v/>
      </c>
    </row>
    <row r="1794" spans="1:30" s="170" customFormat="1" ht="20.399999999999999">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144"/>
        <v/>
      </c>
      <c r="T1794" s="155" t="str">
        <f ca="1">IF(B1794="","",IF(ISERROR(MATCH($J1794,SorP!$B$1:$B$6226,0)),"",INDIRECT("'SorP'!$A$"&amp;MATCH($S1794&amp;$J1794,SorP!C:C,0))))</f>
        <v/>
      </c>
      <c r="U1794" s="168"/>
      <c r="V1794" s="169" t="e">
        <f>IF(C1794="",NA(),MATCH($B1794&amp;$C1794,'Smelter Look-up'!$J:$J,0))</f>
        <v>#N/A</v>
      </c>
      <c r="X1794" s="170">
        <f t="shared" ca="1" si="143"/>
        <v>0</v>
      </c>
      <c r="AB1794" s="313" t="str">
        <f t="shared" si="140"/>
        <v/>
      </c>
      <c r="AC1794" s="170" t="str">
        <f t="shared" si="141"/>
        <v/>
      </c>
      <c r="AD1794" s="170" t="str">
        <f t="shared" si="142"/>
        <v/>
      </c>
    </row>
    <row r="1795" spans="1:30" s="170" customFormat="1" ht="20.399999999999999">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144"/>
        <v/>
      </c>
      <c r="T1795" s="155" t="str">
        <f ca="1">IF(B1795="","",IF(ISERROR(MATCH($J1795,SorP!$B$1:$B$6226,0)),"",INDIRECT("'SorP'!$A$"&amp;MATCH($S1795&amp;$J1795,SorP!C:C,0))))</f>
        <v/>
      </c>
      <c r="U1795" s="168"/>
      <c r="V1795" s="169" t="e">
        <f>IF(C1795="",NA(),MATCH($B1795&amp;$C1795,'Smelter Look-up'!$J:$J,0))</f>
        <v>#N/A</v>
      </c>
      <c r="X1795" s="170">
        <f t="shared" ca="1" si="143"/>
        <v>0</v>
      </c>
      <c r="AB1795" s="313" t="str">
        <f t="shared" si="140"/>
        <v/>
      </c>
      <c r="AC1795" s="170" t="str">
        <f t="shared" si="141"/>
        <v/>
      </c>
      <c r="AD1795" s="170" t="str">
        <f t="shared" si="142"/>
        <v/>
      </c>
    </row>
    <row r="1796" spans="1:30" s="170" customFormat="1" ht="20.399999999999999">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144"/>
        <v/>
      </c>
      <c r="T1796" s="155" t="str">
        <f ca="1">IF(B1796="","",IF(ISERROR(MATCH($J1796,SorP!$B$1:$B$6226,0)),"",INDIRECT("'SorP'!$A$"&amp;MATCH($S1796&amp;$J1796,SorP!C:C,0))))</f>
        <v/>
      </c>
      <c r="U1796" s="168"/>
      <c r="V1796" s="169" t="e">
        <f>IF(C1796="",NA(),MATCH($B1796&amp;$C1796,'Smelter Look-up'!$J:$J,0))</f>
        <v>#N/A</v>
      </c>
      <c r="X1796" s="170">
        <f t="shared" ca="1" si="143"/>
        <v>0</v>
      </c>
      <c r="AB1796" s="313" t="str">
        <f t="shared" si="140"/>
        <v/>
      </c>
      <c r="AC1796" s="170" t="str">
        <f t="shared" si="141"/>
        <v/>
      </c>
      <c r="AD1796" s="170" t="str">
        <f t="shared" si="142"/>
        <v/>
      </c>
    </row>
    <row r="1797" spans="1:30" s="170" customFormat="1" ht="20.399999999999999">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144"/>
        <v/>
      </c>
      <c r="T1797" s="155" t="str">
        <f ca="1">IF(B1797="","",IF(ISERROR(MATCH($J1797,SorP!$B$1:$B$6226,0)),"",INDIRECT("'SorP'!$A$"&amp;MATCH($S1797&amp;$J1797,SorP!C:C,0))))</f>
        <v/>
      </c>
      <c r="U1797" s="168"/>
      <c r="V1797" s="169" t="e">
        <f>IF(C1797="",NA(),MATCH($B1797&amp;$C1797,'Smelter Look-up'!$J:$J,0))</f>
        <v>#N/A</v>
      </c>
      <c r="X1797" s="170">
        <f t="shared" ca="1" si="143"/>
        <v>0</v>
      </c>
      <c r="AB1797" s="313" t="str">
        <f t="shared" si="140"/>
        <v/>
      </c>
      <c r="AC1797" s="170" t="str">
        <f t="shared" si="141"/>
        <v/>
      </c>
      <c r="AD1797" s="170" t="str">
        <f t="shared" si="142"/>
        <v/>
      </c>
    </row>
    <row r="1798" spans="1:30" s="170" customFormat="1" ht="20.399999999999999">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144"/>
        <v/>
      </c>
      <c r="T1798" s="155" t="str">
        <f ca="1">IF(B1798="","",IF(ISERROR(MATCH($J1798,SorP!$B$1:$B$6226,0)),"",INDIRECT("'SorP'!$A$"&amp;MATCH($S1798&amp;$J1798,SorP!C:C,0))))</f>
        <v/>
      </c>
      <c r="U1798" s="168"/>
      <c r="V1798" s="169" t="e">
        <f>IF(C1798="",NA(),MATCH($B1798&amp;$C1798,'Smelter Look-up'!$J:$J,0))</f>
        <v>#N/A</v>
      </c>
      <c r="X1798" s="170">
        <f t="shared" ca="1" si="143"/>
        <v>0</v>
      </c>
      <c r="AB1798" s="313" t="str">
        <f t="shared" ref="AB1798:AB1861" si="145">IF(C1798="","",B1798)</f>
        <v/>
      </c>
      <c r="AC1798" s="170" t="str">
        <f t="shared" ref="AC1798:AC1861" si="146">B1798</f>
        <v/>
      </c>
      <c r="AD1798" s="170" t="str">
        <f t="shared" ref="AD1798:AD1861" si="147">IF(C1798="Smelter not listed",D1798,C1798)</f>
        <v/>
      </c>
    </row>
    <row r="1799" spans="1:30" s="170" customFormat="1" ht="20.399999999999999">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144"/>
        <v/>
      </c>
      <c r="T1799" s="155" t="str">
        <f ca="1">IF(B1799="","",IF(ISERROR(MATCH($J1799,SorP!$B$1:$B$6226,0)),"",INDIRECT("'SorP'!$A$"&amp;MATCH($S1799&amp;$J1799,SorP!C:C,0))))</f>
        <v/>
      </c>
      <c r="U1799" s="168"/>
      <c r="V1799" s="169" t="e">
        <f>IF(C1799="",NA(),MATCH($B1799&amp;$C1799,'Smelter Look-up'!$J:$J,0))</f>
        <v>#N/A</v>
      </c>
      <c r="X1799" s="170">
        <f t="shared" ca="1" si="143"/>
        <v>0</v>
      </c>
      <c r="AB1799" s="313" t="str">
        <f t="shared" si="145"/>
        <v/>
      </c>
      <c r="AC1799" s="170" t="str">
        <f t="shared" si="146"/>
        <v/>
      </c>
      <c r="AD1799" s="170" t="str">
        <f t="shared" si="147"/>
        <v/>
      </c>
    </row>
    <row r="1800" spans="1:30" s="170" customFormat="1" ht="20.399999999999999">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144"/>
        <v/>
      </c>
      <c r="T1800" s="155" t="str">
        <f ca="1">IF(B1800="","",IF(ISERROR(MATCH($J1800,SorP!$B$1:$B$6226,0)),"",INDIRECT("'SorP'!$A$"&amp;MATCH($S1800&amp;$J1800,SorP!C:C,0))))</f>
        <v/>
      </c>
      <c r="U1800" s="168"/>
      <c r="V1800" s="169" t="e">
        <f>IF(C1800="",NA(),MATCH($B1800&amp;$C1800,'Smelter Look-up'!$J:$J,0))</f>
        <v>#N/A</v>
      </c>
      <c r="X1800" s="170">
        <f t="shared" ca="1" si="143"/>
        <v>0</v>
      </c>
      <c r="AB1800" s="313" t="str">
        <f t="shared" si="145"/>
        <v/>
      </c>
      <c r="AC1800" s="170" t="str">
        <f t="shared" si="146"/>
        <v/>
      </c>
      <c r="AD1800" s="170" t="str">
        <f t="shared" si="147"/>
        <v/>
      </c>
    </row>
    <row r="1801" spans="1:30" s="170" customFormat="1" ht="20.399999999999999">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144"/>
        <v/>
      </c>
      <c r="T1801" s="155" t="str">
        <f ca="1">IF(B1801="","",IF(ISERROR(MATCH($J1801,SorP!$B$1:$B$6226,0)),"",INDIRECT("'SorP'!$A$"&amp;MATCH($S1801&amp;$J1801,SorP!C:C,0))))</f>
        <v/>
      </c>
      <c r="U1801" s="168"/>
      <c r="V1801" s="169" t="e">
        <f>IF(C1801="",NA(),MATCH($B1801&amp;$C1801,'Smelter Look-up'!$J:$J,0))</f>
        <v>#N/A</v>
      </c>
      <c r="X1801" s="170">
        <f t="shared" ca="1" si="143"/>
        <v>0</v>
      </c>
      <c r="AB1801" s="313" t="str">
        <f t="shared" si="145"/>
        <v/>
      </c>
      <c r="AC1801" s="170" t="str">
        <f t="shared" si="146"/>
        <v/>
      </c>
      <c r="AD1801" s="170" t="str">
        <f t="shared" si="147"/>
        <v/>
      </c>
    </row>
    <row r="1802" spans="1:30" s="170" customFormat="1" ht="20.399999999999999">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144"/>
        <v/>
      </c>
      <c r="T1802" s="155" t="str">
        <f ca="1">IF(B1802="","",IF(ISERROR(MATCH($J1802,SorP!$B$1:$B$6226,0)),"",INDIRECT("'SorP'!$A$"&amp;MATCH($S1802&amp;$J1802,SorP!C:C,0))))</f>
        <v/>
      </c>
      <c r="U1802" s="168"/>
      <c r="V1802" s="169" t="e">
        <f>IF(C1802="",NA(),MATCH($B1802&amp;$C1802,'Smelter Look-up'!$J:$J,0))</f>
        <v>#N/A</v>
      </c>
      <c r="X1802" s="170">
        <f t="shared" ca="1" si="143"/>
        <v>0</v>
      </c>
      <c r="AB1802" s="313" t="str">
        <f t="shared" si="145"/>
        <v/>
      </c>
      <c r="AC1802" s="170" t="str">
        <f t="shared" si="146"/>
        <v/>
      </c>
      <c r="AD1802" s="170" t="str">
        <f t="shared" si="147"/>
        <v/>
      </c>
    </row>
    <row r="1803" spans="1:30" s="170" customFormat="1" ht="20.399999999999999">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144"/>
        <v/>
      </c>
      <c r="T1803" s="155" t="str">
        <f ca="1">IF(B1803="","",IF(ISERROR(MATCH($J1803,SorP!$B$1:$B$6226,0)),"",INDIRECT("'SorP'!$A$"&amp;MATCH($S1803&amp;$J1803,SorP!C:C,0))))</f>
        <v/>
      </c>
      <c r="U1803" s="168"/>
      <c r="V1803" s="169" t="e">
        <f>IF(C1803="",NA(),MATCH($B1803&amp;$C1803,'Smelter Look-up'!$J:$J,0))</f>
        <v>#N/A</v>
      </c>
      <c r="X1803" s="170">
        <f t="shared" ca="1" si="143"/>
        <v>0</v>
      </c>
      <c r="AB1803" s="313" t="str">
        <f t="shared" si="145"/>
        <v/>
      </c>
      <c r="AC1803" s="170" t="str">
        <f t="shared" si="146"/>
        <v/>
      </c>
      <c r="AD1803" s="170" t="str">
        <f t="shared" si="147"/>
        <v/>
      </c>
    </row>
    <row r="1804" spans="1:30" s="170" customFormat="1" ht="20.399999999999999">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144"/>
        <v/>
      </c>
      <c r="T1804" s="155" t="str">
        <f ca="1">IF(B1804="","",IF(ISERROR(MATCH($J1804,SorP!$B$1:$B$6226,0)),"",INDIRECT("'SorP'!$A$"&amp;MATCH($S1804&amp;$J1804,SorP!C:C,0))))</f>
        <v/>
      </c>
      <c r="U1804" s="168"/>
      <c r="V1804" s="169" t="e">
        <f>IF(C1804="",NA(),MATCH($B1804&amp;$C1804,'Smelter Look-up'!$J:$J,0))</f>
        <v>#N/A</v>
      </c>
      <c r="X1804" s="170">
        <f t="shared" ca="1" si="143"/>
        <v>0</v>
      </c>
      <c r="AB1804" s="313" t="str">
        <f t="shared" si="145"/>
        <v/>
      </c>
      <c r="AC1804" s="170" t="str">
        <f t="shared" si="146"/>
        <v/>
      </c>
      <c r="AD1804" s="170" t="str">
        <f t="shared" si="147"/>
        <v/>
      </c>
    </row>
    <row r="1805" spans="1:30" s="170" customFormat="1" ht="20.399999999999999">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144"/>
        <v/>
      </c>
      <c r="T1805" s="155" t="str">
        <f ca="1">IF(B1805="","",IF(ISERROR(MATCH($J1805,SorP!$B$1:$B$6226,0)),"",INDIRECT("'SorP'!$A$"&amp;MATCH($S1805&amp;$J1805,SorP!C:C,0))))</f>
        <v/>
      </c>
      <c r="U1805" s="168"/>
      <c r="V1805" s="169" t="e">
        <f>IF(C1805="",NA(),MATCH($B1805&amp;$C1805,'Smelter Look-up'!$J:$J,0))</f>
        <v>#N/A</v>
      </c>
      <c r="X1805" s="170">
        <f t="shared" ca="1" si="143"/>
        <v>0</v>
      </c>
      <c r="AB1805" s="313" t="str">
        <f t="shared" si="145"/>
        <v/>
      </c>
      <c r="AC1805" s="170" t="str">
        <f t="shared" si="146"/>
        <v/>
      </c>
      <c r="AD1805" s="170" t="str">
        <f t="shared" si="147"/>
        <v/>
      </c>
    </row>
    <row r="1806" spans="1:30" s="170" customFormat="1" ht="20.399999999999999">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144"/>
        <v/>
      </c>
      <c r="T1806" s="155" t="str">
        <f ca="1">IF(B1806="","",IF(ISERROR(MATCH($J1806,SorP!$B$1:$B$6226,0)),"",INDIRECT("'SorP'!$A$"&amp;MATCH($S1806&amp;$J1806,SorP!C:C,0))))</f>
        <v/>
      </c>
      <c r="U1806" s="168"/>
      <c r="V1806" s="169" t="e">
        <f>IF(C1806="",NA(),MATCH($B1806&amp;$C1806,'Smelter Look-up'!$J:$J,0))</f>
        <v>#N/A</v>
      </c>
      <c r="X1806" s="170">
        <f t="shared" ca="1" si="143"/>
        <v>0</v>
      </c>
      <c r="AB1806" s="313" t="str">
        <f t="shared" si="145"/>
        <v/>
      </c>
      <c r="AC1806" s="170" t="str">
        <f t="shared" si="146"/>
        <v/>
      </c>
      <c r="AD1806" s="170" t="str">
        <f t="shared" si="147"/>
        <v/>
      </c>
    </row>
    <row r="1807" spans="1:30" s="170" customFormat="1" ht="20.399999999999999">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144"/>
        <v/>
      </c>
      <c r="T1807" s="155" t="str">
        <f ca="1">IF(B1807="","",IF(ISERROR(MATCH($J1807,SorP!$B$1:$B$6226,0)),"",INDIRECT("'SorP'!$A$"&amp;MATCH($S1807&amp;$J1807,SorP!C:C,0))))</f>
        <v/>
      </c>
      <c r="U1807" s="168"/>
      <c r="V1807" s="169" t="e">
        <f>IF(C1807="",NA(),MATCH($B1807&amp;$C1807,'Smelter Look-up'!$J:$J,0))</f>
        <v>#N/A</v>
      </c>
      <c r="X1807" s="170">
        <f t="shared" ca="1" si="143"/>
        <v>0</v>
      </c>
      <c r="AB1807" s="313" t="str">
        <f t="shared" si="145"/>
        <v/>
      </c>
      <c r="AC1807" s="170" t="str">
        <f t="shared" si="146"/>
        <v/>
      </c>
      <c r="AD1807" s="170" t="str">
        <f t="shared" si="147"/>
        <v/>
      </c>
    </row>
    <row r="1808" spans="1:30" s="170" customFormat="1" ht="20.399999999999999">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144"/>
        <v/>
      </c>
      <c r="T1808" s="155" t="str">
        <f ca="1">IF(B1808="","",IF(ISERROR(MATCH($J1808,SorP!$B$1:$B$6226,0)),"",INDIRECT("'SorP'!$A$"&amp;MATCH($S1808&amp;$J1808,SorP!C:C,0))))</f>
        <v/>
      </c>
      <c r="U1808" s="168"/>
      <c r="V1808" s="169" t="e">
        <f>IF(C1808="",NA(),MATCH($B1808&amp;$C1808,'Smelter Look-up'!$J:$J,0))</f>
        <v>#N/A</v>
      </c>
      <c r="X1808" s="170">
        <f t="shared" ca="1" si="143"/>
        <v>0</v>
      </c>
      <c r="AB1808" s="313" t="str">
        <f t="shared" si="145"/>
        <v/>
      </c>
      <c r="AC1808" s="170" t="str">
        <f t="shared" si="146"/>
        <v/>
      </c>
      <c r="AD1808" s="170" t="str">
        <f t="shared" si="147"/>
        <v/>
      </c>
    </row>
    <row r="1809" spans="1:30" s="170" customFormat="1" ht="20.399999999999999">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144"/>
        <v/>
      </c>
      <c r="T1809" s="155" t="str">
        <f ca="1">IF(B1809="","",IF(ISERROR(MATCH($J1809,SorP!$B$1:$B$6226,0)),"",INDIRECT("'SorP'!$A$"&amp;MATCH($S1809&amp;$J1809,SorP!C:C,0))))</f>
        <v/>
      </c>
      <c r="U1809" s="168"/>
      <c r="V1809" s="169" t="e">
        <f>IF(C1809="",NA(),MATCH($B1809&amp;$C1809,'Smelter Look-up'!$J:$J,0))</f>
        <v>#N/A</v>
      </c>
      <c r="X1809" s="170">
        <f t="shared" ca="1" si="143"/>
        <v>0</v>
      </c>
      <c r="AB1809" s="313" t="str">
        <f t="shared" si="145"/>
        <v/>
      </c>
      <c r="AC1809" s="170" t="str">
        <f t="shared" si="146"/>
        <v/>
      </c>
      <c r="AD1809" s="170" t="str">
        <f t="shared" si="147"/>
        <v/>
      </c>
    </row>
    <row r="1810" spans="1:30" s="170" customFormat="1" ht="20.399999999999999">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144"/>
        <v/>
      </c>
      <c r="T1810" s="155" t="str">
        <f ca="1">IF(B1810="","",IF(ISERROR(MATCH($J1810,SorP!$B$1:$B$6226,0)),"",INDIRECT("'SorP'!$A$"&amp;MATCH($S1810&amp;$J1810,SorP!C:C,0))))</f>
        <v/>
      </c>
      <c r="U1810" s="168"/>
      <c r="V1810" s="169" t="e">
        <f>IF(C1810="",NA(),MATCH($B1810&amp;$C1810,'Smelter Look-up'!$J:$J,0))</f>
        <v>#N/A</v>
      </c>
      <c r="X1810" s="170">
        <f t="shared" ca="1" si="143"/>
        <v>0</v>
      </c>
      <c r="AB1810" s="313" t="str">
        <f t="shared" si="145"/>
        <v/>
      </c>
      <c r="AC1810" s="170" t="str">
        <f t="shared" si="146"/>
        <v/>
      </c>
      <c r="AD1810" s="170" t="str">
        <f t="shared" si="147"/>
        <v/>
      </c>
    </row>
    <row r="1811" spans="1:30" s="170" customFormat="1" ht="20.399999999999999">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144"/>
        <v/>
      </c>
      <c r="T1811" s="155" t="str">
        <f ca="1">IF(B1811="","",IF(ISERROR(MATCH($J1811,SorP!$B$1:$B$6226,0)),"",INDIRECT("'SorP'!$A$"&amp;MATCH($S1811&amp;$J1811,SorP!C:C,0))))</f>
        <v/>
      </c>
      <c r="U1811" s="168"/>
      <c r="V1811" s="169" t="e">
        <f>IF(C1811="",NA(),MATCH($B1811&amp;$C1811,'Smelter Look-up'!$J:$J,0))</f>
        <v>#N/A</v>
      </c>
      <c r="X1811" s="170">
        <f t="shared" ca="1" si="143"/>
        <v>0</v>
      </c>
      <c r="AB1811" s="313" t="str">
        <f t="shared" si="145"/>
        <v/>
      </c>
      <c r="AC1811" s="170" t="str">
        <f t="shared" si="146"/>
        <v/>
      </c>
      <c r="AD1811" s="170" t="str">
        <f t="shared" si="147"/>
        <v/>
      </c>
    </row>
    <row r="1812" spans="1:30" s="170" customFormat="1" ht="20.399999999999999">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144"/>
        <v/>
      </c>
      <c r="T1812" s="155" t="str">
        <f ca="1">IF(B1812="","",IF(ISERROR(MATCH($J1812,SorP!$B$1:$B$6226,0)),"",INDIRECT("'SorP'!$A$"&amp;MATCH($S1812&amp;$J1812,SorP!C:C,0))))</f>
        <v/>
      </c>
      <c r="U1812" s="168"/>
      <c r="V1812" s="169" t="e">
        <f>IF(C1812="",NA(),MATCH($B1812&amp;$C1812,'Smelter Look-up'!$J:$J,0))</f>
        <v>#N/A</v>
      </c>
      <c r="X1812" s="170">
        <f t="shared" ca="1" si="143"/>
        <v>0</v>
      </c>
      <c r="AB1812" s="313" t="str">
        <f t="shared" si="145"/>
        <v/>
      </c>
      <c r="AC1812" s="170" t="str">
        <f t="shared" si="146"/>
        <v/>
      </c>
      <c r="AD1812" s="170" t="str">
        <f t="shared" si="147"/>
        <v/>
      </c>
    </row>
    <row r="1813" spans="1:30" s="170" customFormat="1" ht="20.399999999999999">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144"/>
        <v/>
      </c>
      <c r="T1813" s="155" t="str">
        <f ca="1">IF(B1813="","",IF(ISERROR(MATCH($J1813,SorP!$B$1:$B$6226,0)),"",INDIRECT("'SorP'!$A$"&amp;MATCH($S1813&amp;$J1813,SorP!C:C,0))))</f>
        <v/>
      </c>
      <c r="U1813" s="168"/>
      <c r="V1813" s="169" t="e">
        <f>IF(C1813="",NA(),MATCH($B1813&amp;$C1813,'Smelter Look-up'!$J:$J,0))</f>
        <v>#N/A</v>
      </c>
      <c r="X1813" s="170">
        <f t="shared" ca="1" si="143"/>
        <v>0</v>
      </c>
      <c r="AB1813" s="313" t="str">
        <f t="shared" si="145"/>
        <v/>
      </c>
      <c r="AC1813" s="170" t="str">
        <f t="shared" si="146"/>
        <v/>
      </c>
      <c r="AD1813" s="170" t="str">
        <f t="shared" si="147"/>
        <v/>
      </c>
    </row>
    <row r="1814" spans="1:30" s="170" customFormat="1" ht="20.399999999999999">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144"/>
        <v/>
      </c>
      <c r="T1814" s="155" t="str">
        <f ca="1">IF(B1814="","",IF(ISERROR(MATCH($J1814,SorP!$B$1:$B$6226,0)),"",INDIRECT("'SorP'!$A$"&amp;MATCH($S1814&amp;$J1814,SorP!C:C,0))))</f>
        <v/>
      </c>
      <c r="U1814" s="168"/>
      <c r="V1814" s="169" t="e">
        <f>IF(C1814="",NA(),MATCH($B1814&amp;$C1814,'Smelter Look-up'!$J:$J,0))</f>
        <v>#N/A</v>
      </c>
      <c r="X1814" s="170">
        <f t="shared" ca="1" si="143"/>
        <v>0</v>
      </c>
      <c r="AB1814" s="313" t="str">
        <f t="shared" si="145"/>
        <v/>
      </c>
      <c r="AC1814" s="170" t="str">
        <f t="shared" si="146"/>
        <v/>
      </c>
      <c r="AD1814" s="170" t="str">
        <f t="shared" si="147"/>
        <v/>
      </c>
    </row>
    <row r="1815" spans="1:30" s="170" customFormat="1" ht="20.399999999999999">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144"/>
        <v/>
      </c>
      <c r="T1815" s="155" t="str">
        <f ca="1">IF(B1815="","",IF(ISERROR(MATCH($J1815,SorP!$B$1:$B$6226,0)),"",INDIRECT("'SorP'!$A$"&amp;MATCH($S1815&amp;$J1815,SorP!C:C,0))))</f>
        <v/>
      </c>
      <c r="U1815" s="168"/>
      <c r="V1815" s="169" t="e">
        <f>IF(C1815="",NA(),MATCH($B1815&amp;$C1815,'Smelter Look-up'!$J:$J,0))</f>
        <v>#N/A</v>
      </c>
      <c r="X1815" s="170">
        <f t="shared" ca="1" si="143"/>
        <v>0</v>
      </c>
      <c r="AB1815" s="313" t="str">
        <f t="shared" si="145"/>
        <v/>
      </c>
      <c r="AC1815" s="170" t="str">
        <f t="shared" si="146"/>
        <v/>
      </c>
      <c r="AD1815" s="170" t="str">
        <f t="shared" si="147"/>
        <v/>
      </c>
    </row>
    <row r="1816" spans="1:30" s="170" customFormat="1" ht="20.399999999999999">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144"/>
        <v/>
      </c>
      <c r="T1816" s="155" t="str">
        <f ca="1">IF(B1816="","",IF(ISERROR(MATCH($J1816,SorP!$B$1:$B$6226,0)),"",INDIRECT("'SorP'!$A$"&amp;MATCH($S1816&amp;$J1816,SorP!C:C,0))))</f>
        <v/>
      </c>
      <c r="U1816" s="168"/>
      <c r="V1816" s="169" t="e">
        <f>IF(C1816="",NA(),MATCH($B1816&amp;$C1816,'Smelter Look-up'!$J:$J,0))</f>
        <v>#N/A</v>
      </c>
      <c r="X1816" s="170">
        <f t="shared" ca="1" si="143"/>
        <v>0</v>
      </c>
      <c r="AB1816" s="313" t="str">
        <f t="shared" si="145"/>
        <v/>
      </c>
      <c r="AC1816" s="170" t="str">
        <f t="shared" si="146"/>
        <v/>
      </c>
      <c r="AD1816" s="170" t="str">
        <f t="shared" si="147"/>
        <v/>
      </c>
    </row>
    <row r="1817" spans="1:30" s="170" customFormat="1" ht="20.399999999999999">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144"/>
        <v/>
      </c>
      <c r="T1817" s="155" t="str">
        <f ca="1">IF(B1817="","",IF(ISERROR(MATCH($J1817,SorP!$B$1:$B$6226,0)),"",INDIRECT("'SorP'!$A$"&amp;MATCH($S1817&amp;$J1817,SorP!C:C,0))))</f>
        <v/>
      </c>
      <c r="U1817" s="168"/>
      <c r="V1817" s="169" t="e">
        <f>IF(C1817="",NA(),MATCH($B1817&amp;$C1817,'Smelter Look-up'!$J:$J,0))</f>
        <v>#N/A</v>
      </c>
      <c r="X1817" s="170">
        <f t="shared" ca="1" si="143"/>
        <v>0</v>
      </c>
      <c r="AB1817" s="313" t="str">
        <f t="shared" si="145"/>
        <v/>
      </c>
      <c r="AC1817" s="170" t="str">
        <f t="shared" si="146"/>
        <v/>
      </c>
      <c r="AD1817" s="170" t="str">
        <f t="shared" si="147"/>
        <v/>
      </c>
    </row>
    <row r="1818" spans="1:30" s="170" customFormat="1" ht="20.399999999999999">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144"/>
        <v/>
      </c>
      <c r="T1818" s="155" t="str">
        <f ca="1">IF(B1818="","",IF(ISERROR(MATCH($J1818,SorP!$B$1:$B$6226,0)),"",INDIRECT("'SorP'!$A$"&amp;MATCH($S1818&amp;$J1818,SorP!C:C,0))))</f>
        <v/>
      </c>
      <c r="U1818" s="168"/>
      <c r="V1818" s="169" t="e">
        <f>IF(C1818="",NA(),MATCH($B1818&amp;$C1818,'Smelter Look-up'!$J:$J,0))</f>
        <v>#N/A</v>
      </c>
      <c r="X1818" s="170">
        <f t="shared" ca="1" si="143"/>
        <v>0</v>
      </c>
      <c r="AB1818" s="313" t="str">
        <f t="shared" si="145"/>
        <v/>
      </c>
      <c r="AC1818" s="170" t="str">
        <f t="shared" si="146"/>
        <v/>
      </c>
      <c r="AD1818" s="170" t="str">
        <f t="shared" si="147"/>
        <v/>
      </c>
    </row>
    <row r="1819" spans="1:30" s="170" customFormat="1" ht="20.399999999999999">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144"/>
        <v/>
      </c>
      <c r="T1819" s="155" t="str">
        <f ca="1">IF(B1819="","",IF(ISERROR(MATCH($J1819,SorP!$B$1:$B$6226,0)),"",INDIRECT("'SorP'!$A$"&amp;MATCH($S1819&amp;$J1819,SorP!C:C,0))))</f>
        <v/>
      </c>
      <c r="U1819" s="168"/>
      <c r="V1819" s="169" t="e">
        <f>IF(C1819="",NA(),MATCH($B1819&amp;$C1819,'Smelter Look-up'!$J:$J,0))</f>
        <v>#N/A</v>
      </c>
      <c r="X1819" s="170">
        <f t="shared" ca="1" si="143"/>
        <v>0</v>
      </c>
      <c r="AB1819" s="313" t="str">
        <f t="shared" si="145"/>
        <v/>
      </c>
      <c r="AC1819" s="170" t="str">
        <f t="shared" si="146"/>
        <v/>
      </c>
      <c r="AD1819" s="170" t="str">
        <f t="shared" si="147"/>
        <v/>
      </c>
    </row>
    <row r="1820" spans="1:30" s="170" customFormat="1" ht="20.399999999999999">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144"/>
        <v/>
      </c>
      <c r="T1820" s="155" t="str">
        <f ca="1">IF(B1820="","",IF(ISERROR(MATCH($J1820,SorP!$B$1:$B$6226,0)),"",INDIRECT("'SorP'!$A$"&amp;MATCH($S1820&amp;$J1820,SorP!C:C,0))))</f>
        <v/>
      </c>
      <c r="U1820" s="168"/>
      <c r="V1820" s="169" t="e">
        <f>IF(C1820="",NA(),MATCH($B1820&amp;$C1820,'Smelter Look-up'!$J:$J,0))</f>
        <v>#N/A</v>
      </c>
      <c r="X1820" s="170">
        <f t="shared" ca="1" si="143"/>
        <v>0</v>
      </c>
      <c r="AB1820" s="313" t="str">
        <f t="shared" si="145"/>
        <v/>
      </c>
      <c r="AC1820" s="170" t="str">
        <f t="shared" si="146"/>
        <v/>
      </c>
      <c r="AD1820" s="170" t="str">
        <f t="shared" si="147"/>
        <v/>
      </c>
    </row>
    <row r="1821" spans="1:30" s="170" customFormat="1" ht="20.399999999999999">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144"/>
        <v/>
      </c>
      <c r="T1821" s="155" t="str">
        <f ca="1">IF(B1821="","",IF(ISERROR(MATCH($J1821,SorP!$B$1:$B$6226,0)),"",INDIRECT("'SorP'!$A$"&amp;MATCH($S1821&amp;$J1821,SorP!C:C,0))))</f>
        <v/>
      </c>
      <c r="U1821" s="168"/>
      <c r="V1821" s="169" t="e">
        <f>IF(C1821="",NA(),MATCH($B1821&amp;$C1821,'Smelter Look-up'!$J:$J,0))</f>
        <v>#N/A</v>
      </c>
      <c r="X1821" s="170">
        <f t="shared" ca="1" si="143"/>
        <v>0</v>
      </c>
      <c r="AB1821" s="313" t="str">
        <f t="shared" si="145"/>
        <v/>
      </c>
      <c r="AC1821" s="170" t="str">
        <f t="shared" si="146"/>
        <v/>
      </c>
      <c r="AD1821" s="170" t="str">
        <f t="shared" si="147"/>
        <v/>
      </c>
    </row>
    <row r="1822" spans="1:30" s="170" customFormat="1" ht="20.399999999999999">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144"/>
        <v/>
      </c>
      <c r="T1822" s="155" t="str">
        <f ca="1">IF(B1822="","",IF(ISERROR(MATCH($J1822,SorP!$B$1:$B$6226,0)),"",INDIRECT("'SorP'!$A$"&amp;MATCH($S1822&amp;$J1822,SorP!C:C,0))))</f>
        <v/>
      </c>
      <c r="U1822" s="168"/>
      <c r="V1822" s="169" t="e">
        <f>IF(C1822="",NA(),MATCH($B1822&amp;$C1822,'Smelter Look-up'!$J:$J,0))</f>
        <v>#N/A</v>
      </c>
      <c r="X1822" s="170">
        <f t="shared" ca="1" si="143"/>
        <v>0</v>
      </c>
      <c r="AB1822" s="313" t="str">
        <f t="shared" si="145"/>
        <v/>
      </c>
      <c r="AC1822" s="170" t="str">
        <f t="shared" si="146"/>
        <v/>
      </c>
      <c r="AD1822" s="170" t="str">
        <f t="shared" si="147"/>
        <v/>
      </c>
    </row>
    <row r="1823" spans="1:30" s="170" customFormat="1" ht="20.399999999999999">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144"/>
        <v/>
      </c>
      <c r="T1823" s="155" t="str">
        <f ca="1">IF(B1823="","",IF(ISERROR(MATCH($J1823,SorP!$B$1:$B$6226,0)),"",INDIRECT("'SorP'!$A$"&amp;MATCH($S1823&amp;$J1823,SorP!C:C,0))))</f>
        <v/>
      </c>
      <c r="U1823" s="168"/>
      <c r="V1823" s="169" t="e">
        <f>IF(C1823="",NA(),MATCH($B1823&amp;$C1823,'Smelter Look-up'!$J:$J,0))</f>
        <v>#N/A</v>
      </c>
      <c r="X1823" s="170">
        <f t="shared" ca="1" si="143"/>
        <v>0</v>
      </c>
      <c r="AB1823" s="313" t="str">
        <f t="shared" si="145"/>
        <v/>
      </c>
      <c r="AC1823" s="170" t="str">
        <f t="shared" si="146"/>
        <v/>
      </c>
      <c r="AD1823" s="170" t="str">
        <f t="shared" si="147"/>
        <v/>
      </c>
    </row>
    <row r="1824" spans="1:30" s="170" customFormat="1" ht="20.399999999999999">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144"/>
        <v/>
      </c>
      <c r="T1824" s="155" t="str">
        <f ca="1">IF(B1824="","",IF(ISERROR(MATCH($J1824,SorP!$B$1:$B$6226,0)),"",INDIRECT("'SorP'!$A$"&amp;MATCH($S1824&amp;$J1824,SorP!C:C,0))))</f>
        <v/>
      </c>
      <c r="U1824" s="168"/>
      <c r="V1824" s="169" t="e">
        <f>IF(C1824="",NA(),MATCH($B1824&amp;$C1824,'Smelter Look-up'!$J:$J,0))</f>
        <v>#N/A</v>
      </c>
      <c r="X1824" s="170">
        <f t="shared" ca="1" si="143"/>
        <v>0</v>
      </c>
      <c r="AB1824" s="313" t="str">
        <f t="shared" si="145"/>
        <v/>
      </c>
      <c r="AC1824" s="170" t="str">
        <f t="shared" si="146"/>
        <v/>
      </c>
      <c r="AD1824" s="170" t="str">
        <f t="shared" si="147"/>
        <v/>
      </c>
    </row>
    <row r="1825" spans="1:30" s="170" customFormat="1" ht="20.399999999999999">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144"/>
        <v/>
      </c>
      <c r="T1825" s="155" t="str">
        <f ca="1">IF(B1825="","",IF(ISERROR(MATCH($J1825,SorP!$B$1:$B$6226,0)),"",INDIRECT("'SorP'!$A$"&amp;MATCH($S1825&amp;$J1825,SorP!C:C,0))))</f>
        <v/>
      </c>
      <c r="U1825" s="168"/>
      <c r="V1825" s="169" t="e">
        <f>IF(C1825="",NA(),MATCH($B1825&amp;$C1825,'Smelter Look-up'!$J:$J,0))</f>
        <v>#N/A</v>
      </c>
      <c r="X1825" s="170">
        <f t="shared" ca="1" si="143"/>
        <v>0</v>
      </c>
      <c r="AB1825" s="313" t="str">
        <f t="shared" si="145"/>
        <v/>
      </c>
      <c r="AC1825" s="170" t="str">
        <f t="shared" si="146"/>
        <v/>
      </c>
      <c r="AD1825" s="170" t="str">
        <f t="shared" si="147"/>
        <v/>
      </c>
    </row>
    <row r="1826" spans="1:30" s="170" customFormat="1" ht="20.399999999999999">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144"/>
        <v/>
      </c>
      <c r="T1826" s="155" t="str">
        <f ca="1">IF(B1826="","",IF(ISERROR(MATCH($J1826,SorP!$B$1:$B$6226,0)),"",INDIRECT("'SorP'!$A$"&amp;MATCH($S1826&amp;$J1826,SorP!C:C,0))))</f>
        <v/>
      </c>
      <c r="U1826" s="168"/>
      <c r="V1826" s="169" t="e">
        <f>IF(C1826="",NA(),MATCH($B1826&amp;$C1826,'Smelter Look-up'!$J:$J,0))</f>
        <v>#N/A</v>
      </c>
      <c r="X1826" s="170">
        <f t="shared" ca="1" si="143"/>
        <v>0</v>
      </c>
      <c r="AB1826" s="313" t="str">
        <f t="shared" si="145"/>
        <v/>
      </c>
      <c r="AC1826" s="170" t="str">
        <f t="shared" si="146"/>
        <v/>
      </c>
      <c r="AD1826" s="170" t="str">
        <f t="shared" si="147"/>
        <v/>
      </c>
    </row>
    <row r="1827" spans="1:30" s="170" customFormat="1" ht="20.399999999999999">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144"/>
        <v/>
      </c>
      <c r="T1827" s="155" t="str">
        <f ca="1">IF(B1827="","",IF(ISERROR(MATCH($J1827,SorP!$B$1:$B$6226,0)),"",INDIRECT("'SorP'!$A$"&amp;MATCH($S1827&amp;$J1827,SorP!C:C,0))))</f>
        <v/>
      </c>
      <c r="U1827" s="168"/>
      <c r="V1827" s="169" t="e">
        <f>IF(C1827="",NA(),MATCH($B1827&amp;$C1827,'Smelter Look-up'!$J:$J,0))</f>
        <v>#N/A</v>
      </c>
      <c r="X1827" s="170">
        <f t="shared" ca="1" si="143"/>
        <v>0</v>
      </c>
      <c r="AB1827" s="313" t="str">
        <f t="shared" si="145"/>
        <v/>
      </c>
      <c r="AC1827" s="170" t="str">
        <f t="shared" si="146"/>
        <v/>
      </c>
      <c r="AD1827" s="170" t="str">
        <f t="shared" si="147"/>
        <v/>
      </c>
    </row>
    <row r="1828" spans="1:30" s="170" customFormat="1" ht="20.399999999999999">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144"/>
        <v/>
      </c>
      <c r="T1828" s="155" t="str">
        <f ca="1">IF(B1828="","",IF(ISERROR(MATCH($J1828,SorP!$B$1:$B$6226,0)),"",INDIRECT("'SorP'!$A$"&amp;MATCH($S1828&amp;$J1828,SorP!C:C,0))))</f>
        <v/>
      </c>
      <c r="U1828" s="168"/>
      <c r="V1828" s="169" t="e">
        <f>IF(C1828="",NA(),MATCH($B1828&amp;$C1828,'Smelter Look-up'!$J:$J,0))</f>
        <v>#N/A</v>
      </c>
      <c r="X1828" s="170">
        <f t="shared" ca="1" si="143"/>
        <v>0</v>
      </c>
      <c r="AB1828" s="313" t="str">
        <f t="shared" si="145"/>
        <v/>
      </c>
      <c r="AC1828" s="170" t="str">
        <f t="shared" si="146"/>
        <v/>
      </c>
      <c r="AD1828" s="170" t="str">
        <f t="shared" si="147"/>
        <v/>
      </c>
    </row>
    <row r="1829" spans="1:30" s="170" customFormat="1" ht="20.399999999999999">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144"/>
        <v/>
      </c>
      <c r="T1829" s="155" t="str">
        <f ca="1">IF(B1829="","",IF(ISERROR(MATCH($J1829,SorP!$B$1:$B$6226,0)),"",INDIRECT("'SorP'!$A$"&amp;MATCH($S1829&amp;$J1829,SorP!C:C,0))))</f>
        <v/>
      </c>
      <c r="U1829" s="168"/>
      <c r="V1829" s="169" t="e">
        <f>IF(C1829="",NA(),MATCH($B1829&amp;$C1829,'Smelter Look-up'!$J:$J,0))</f>
        <v>#N/A</v>
      </c>
      <c r="X1829" s="170">
        <f t="shared" ca="1" si="143"/>
        <v>0</v>
      </c>
      <c r="AB1829" s="313" t="str">
        <f t="shared" si="145"/>
        <v/>
      </c>
      <c r="AC1829" s="170" t="str">
        <f t="shared" si="146"/>
        <v/>
      </c>
      <c r="AD1829" s="170" t="str">
        <f t="shared" si="147"/>
        <v/>
      </c>
    </row>
    <row r="1830" spans="1:30" s="170" customFormat="1" ht="20.399999999999999">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144"/>
        <v/>
      </c>
      <c r="T1830" s="155" t="str">
        <f ca="1">IF(B1830="","",IF(ISERROR(MATCH($J1830,SorP!$B$1:$B$6226,0)),"",INDIRECT("'SorP'!$A$"&amp;MATCH($S1830&amp;$J1830,SorP!C:C,0))))</f>
        <v/>
      </c>
      <c r="U1830" s="168"/>
      <c r="V1830" s="169" t="e">
        <f>IF(C1830="",NA(),MATCH($B1830&amp;$C1830,'Smelter Look-up'!$J:$J,0))</f>
        <v>#N/A</v>
      </c>
      <c r="X1830" s="170">
        <f t="shared" ca="1" si="143"/>
        <v>0</v>
      </c>
      <c r="AB1830" s="313" t="str">
        <f t="shared" si="145"/>
        <v/>
      </c>
      <c r="AC1830" s="170" t="str">
        <f t="shared" si="146"/>
        <v/>
      </c>
      <c r="AD1830" s="170" t="str">
        <f t="shared" si="147"/>
        <v/>
      </c>
    </row>
    <row r="1831" spans="1:30" s="170" customFormat="1" ht="20.399999999999999">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144"/>
        <v/>
      </c>
      <c r="T1831" s="155" t="str">
        <f ca="1">IF(B1831="","",IF(ISERROR(MATCH($J1831,SorP!$B$1:$B$6226,0)),"",INDIRECT("'SorP'!$A$"&amp;MATCH($S1831&amp;$J1831,SorP!C:C,0))))</f>
        <v/>
      </c>
      <c r="U1831" s="168"/>
      <c r="V1831" s="169" t="e">
        <f>IF(C1831="",NA(),MATCH($B1831&amp;$C1831,'Smelter Look-up'!$J:$J,0))</f>
        <v>#N/A</v>
      </c>
      <c r="X1831" s="170">
        <f t="shared" ca="1" si="143"/>
        <v>0</v>
      </c>
      <c r="AB1831" s="313" t="str">
        <f t="shared" si="145"/>
        <v/>
      </c>
      <c r="AC1831" s="170" t="str">
        <f t="shared" si="146"/>
        <v/>
      </c>
      <c r="AD1831" s="170" t="str">
        <f t="shared" si="147"/>
        <v/>
      </c>
    </row>
    <row r="1832" spans="1:30" s="170" customFormat="1" ht="20.399999999999999">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144"/>
        <v/>
      </c>
      <c r="T1832" s="155" t="str">
        <f ca="1">IF(B1832="","",IF(ISERROR(MATCH($J1832,SorP!$B$1:$B$6226,0)),"",INDIRECT("'SorP'!$A$"&amp;MATCH($S1832&amp;$J1832,SorP!C:C,0))))</f>
        <v/>
      </c>
      <c r="U1832" s="168"/>
      <c r="V1832" s="169" t="e">
        <f>IF(C1832="",NA(),MATCH($B1832&amp;$C1832,'Smelter Look-up'!$J:$J,0))</f>
        <v>#N/A</v>
      </c>
      <c r="X1832" s="170">
        <f t="shared" ca="1" si="143"/>
        <v>0</v>
      </c>
      <c r="AB1832" s="313" t="str">
        <f t="shared" si="145"/>
        <v/>
      </c>
      <c r="AC1832" s="170" t="str">
        <f t="shared" si="146"/>
        <v/>
      </c>
      <c r="AD1832" s="170" t="str">
        <f t="shared" si="147"/>
        <v/>
      </c>
    </row>
    <row r="1833" spans="1:30" s="170" customFormat="1" ht="20.399999999999999">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144"/>
        <v/>
      </c>
      <c r="T1833" s="155" t="str">
        <f ca="1">IF(B1833="","",IF(ISERROR(MATCH($J1833,SorP!$B$1:$B$6226,0)),"",INDIRECT("'SorP'!$A$"&amp;MATCH($S1833&amp;$J1833,SorP!C:C,0))))</f>
        <v/>
      </c>
      <c r="U1833" s="168"/>
      <c r="V1833" s="169" t="e">
        <f>IF(C1833="",NA(),MATCH($B1833&amp;$C1833,'Smelter Look-up'!$J:$J,0))</f>
        <v>#N/A</v>
      </c>
      <c r="X1833" s="170">
        <f t="shared" ca="1" si="143"/>
        <v>0</v>
      </c>
      <c r="AB1833" s="313" t="str">
        <f t="shared" si="145"/>
        <v/>
      </c>
      <c r="AC1833" s="170" t="str">
        <f t="shared" si="146"/>
        <v/>
      </c>
      <c r="AD1833" s="170" t="str">
        <f t="shared" si="147"/>
        <v/>
      </c>
    </row>
    <row r="1834" spans="1:30" s="170" customFormat="1" ht="20.399999999999999">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144"/>
        <v/>
      </c>
      <c r="T1834" s="155" t="str">
        <f ca="1">IF(B1834="","",IF(ISERROR(MATCH($J1834,SorP!$B$1:$B$6226,0)),"",INDIRECT("'SorP'!$A$"&amp;MATCH($S1834&amp;$J1834,SorP!C:C,0))))</f>
        <v/>
      </c>
      <c r="U1834" s="168"/>
      <c r="V1834" s="169" t="e">
        <f>IF(C1834="",NA(),MATCH($B1834&amp;$C1834,'Smelter Look-up'!$J:$J,0))</f>
        <v>#N/A</v>
      </c>
      <c r="X1834" s="170">
        <f t="shared" ca="1" si="143"/>
        <v>0</v>
      </c>
      <c r="AB1834" s="313" t="str">
        <f t="shared" si="145"/>
        <v/>
      </c>
      <c r="AC1834" s="170" t="str">
        <f t="shared" si="146"/>
        <v/>
      </c>
      <c r="AD1834" s="170" t="str">
        <f t="shared" si="147"/>
        <v/>
      </c>
    </row>
    <row r="1835" spans="1:30" s="170" customFormat="1" ht="20.399999999999999">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144"/>
        <v/>
      </c>
      <c r="T1835" s="155" t="str">
        <f ca="1">IF(B1835="","",IF(ISERROR(MATCH($J1835,SorP!$B$1:$B$6226,0)),"",INDIRECT("'SorP'!$A$"&amp;MATCH($S1835&amp;$J1835,SorP!C:C,0))))</f>
        <v/>
      </c>
      <c r="U1835" s="168"/>
      <c r="V1835" s="169" t="e">
        <f>IF(C1835="",NA(),MATCH($B1835&amp;$C1835,'Smelter Look-up'!$J:$J,0))</f>
        <v>#N/A</v>
      </c>
      <c r="X1835" s="170">
        <f t="shared" ca="1" si="143"/>
        <v>0</v>
      </c>
      <c r="AB1835" s="313" t="str">
        <f t="shared" si="145"/>
        <v/>
      </c>
      <c r="AC1835" s="170" t="str">
        <f t="shared" si="146"/>
        <v/>
      </c>
      <c r="AD1835" s="170" t="str">
        <f t="shared" si="147"/>
        <v/>
      </c>
    </row>
    <row r="1836" spans="1:30" s="170" customFormat="1" ht="20.399999999999999">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144"/>
        <v/>
      </c>
      <c r="T1836" s="155" t="str">
        <f ca="1">IF(B1836="","",IF(ISERROR(MATCH($J1836,SorP!$B$1:$B$6226,0)),"",INDIRECT("'SorP'!$A$"&amp;MATCH($S1836&amp;$J1836,SorP!C:C,0))))</f>
        <v/>
      </c>
      <c r="U1836" s="168"/>
      <c r="V1836" s="169" t="e">
        <f>IF(C1836="",NA(),MATCH($B1836&amp;$C1836,'Smelter Look-up'!$J:$J,0))</f>
        <v>#N/A</v>
      </c>
      <c r="X1836" s="170">
        <f t="shared" ca="1" si="143"/>
        <v>0</v>
      </c>
      <c r="AB1836" s="313" t="str">
        <f t="shared" si="145"/>
        <v/>
      </c>
      <c r="AC1836" s="170" t="str">
        <f t="shared" si="146"/>
        <v/>
      </c>
      <c r="AD1836" s="170" t="str">
        <f t="shared" si="147"/>
        <v/>
      </c>
    </row>
    <row r="1837" spans="1:30" s="170" customFormat="1" ht="20.399999999999999">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144"/>
        <v/>
      </c>
      <c r="T1837" s="155" t="str">
        <f ca="1">IF(B1837="","",IF(ISERROR(MATCH($J1837,SorP!$B$1:$B$6226,0)),"",INDIRECT("'SorP'!$A$"&amp;MATCH($S1837&amp;$J1837,SorP!C:C,0))))</f>
        <v/>
      </c>
      <c r="U1837" s="168"/>
      <c r="V1837" s="169" t="e">
        <f>IF(C1837="",NA(),MATCH($B1837&amp;$C1837,'Smelter Look-up'!$J:$J,0))</f>
        <v>#N/A</v>
      </c>
      <c r="X1837" s="170">
        <f t="shared" ca="1" si="143"/>
        <v>0</v>
      </c>
      <c r="AB1837" s="313" t="str">
        <f t="shared" si="145"/>
        <v/>
      </c>
      <c r="AC1837" s="170" t="str">
        <f t="shared" si="146"/>
        <v/>
      </c>
      <c r="AD1837" s="170" t="str">
        <f t="shared" si="147"/>
        <v/>
      </c>
    </row>
    <row r="1838" spans="1:30" s="170" customFormat="1" ht="20.399999999999999">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144"/>
        <v/>
      </c>
      <c r="T1838" s="155" t="str">
        <f ca="1">IF(B1838="","",IF(ISERROR(MATCH($J1838,SorP!$B$1:$B$6226,0)),"",INDIRECT("'SorP'!$A$"&amp;MATCH($S1838&amp;$J1838,SorP!C:C,0))))</f>
        <v/>
      </c>
      <c r="U1838" s="168"/>
      <c r="V1838" s="169" t="e">
        <f>IF(C1838="",NA(),MATCH($B1838&amp;$C1838,'Smelter Look-up'!$J:$J,0))</f>
        <v>#N/A</v>
      </c>
      <c r="X1838" s="170">
        <f t="shared" ca="1" si="143"/>
        <v>0</v>
      </c>
      <c r="AB1838" s="313" t="str">
        <f t="shared" si="145"/>
        <v/>
      </c>
      <c r="AC1838" s="170" t="str">
        <f t="shared" si="146"/>
        <v/>
      </c>
      <c r="AD1838" s="170" t="str">
        <f t="shared" si="147"/>
        <v/>
      </c>
    </row>
    <row r="1839" spans="1:30" s="170" customFormat="1" ht="20.399999999999999">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144"/>
        <v/>
      </c>
      <c r="T1839" s="155" t="str">
        <f ca="1">IF(B1839="","",IF(ISERROR(MATCH($J1839,SorP!$B$1:$B$6226,0)),"",INDIRECT("'SorP'!$A$"&amp;MATCH($S1839&amp;$J1839,SorP!C:C,0))))</f>
        <v/>
      </c>
      <c r="U1839" s="168"/>
      <c r="V1839" s="169" t="e">
        <f>IF(C1839="",NA(),MATCH($B1839&amp;$C1839,'Smelter Look-up'!$J:$J,0))</f>
        <v>#N/A</v>
      </c>
      <c r="X1839" s="170">
        <f t="shared" ca="1" si="143"/>
        <v>0</v>
      </c>
      <c r="AB1839" s="313" t="str">
        <f t="shared" si="145"/>
        <v/>
      </c>
      <c r="AC1839" s="170" t="str">
        <f t="shared" si="146"/>
        <v/>
      </c>
      <c r="AD1839" s="170" t="str">
        <f t="shared" si="147"/>
        <v/>
      </c>
    </row>
    <row r="1840" spans="1:30" s="170" customFormat="1" ht="20.399999999999999">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144"/>
        <v/>
      </c>
      <c r="T1840" s="155" t="str">
        <f ca="1">IF(B1840="","",IF(ISERROR(MATCH($J1840,SorP!$B$1:$B$6226,0)),"",INDIRECT("'SorP'!$A$"&amp;MATCH($S1840&amp;$J1840,SorP!C:C,0))))</f>
        <v/>
      </c>
      <c r="U1840" s="168"/>
      <c r="V1840" s="169" t="e">
        <f>IF(C1840="",NA(),MATCH($B1840&amp;$C1840,'Smelter Look-up'!$J:$J,0))</f>
        <v>#N/A</v>
      </c>
      <c r="X1840" s="170">
        <f t="shared" ca="1" si="143"/>
        <v>0</v>
      </c>
      <c r="AB1840" s="313" t="str">
        <f t="shared" si="145"/>
        <v/>
      </c>
      <c r="AC1840" s="170" t="str">
        <f t="shared" si="146"/>
        <v/>
      </c>
      <c r="AD1840" s="170" t="str">
        <f t="shared" si="147"/>
        <v/>
      </c>
    </row>
    <row r="1841" spans="1:30" s="170" customFormat="1" ht="20.399999999999999">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144"/>
        <v/>
      </c>
      <c r="T1841" s="155" t="str">
        <f ca="1">IF(B1841="","",IF(ISERROR(MATCH($J1841,SorP!$B$1:$B$6226,0)),"",INDIRECT("'SorP'!$A$"&amp;MATCH($S1841&amp;$J1841,SorP!C:C,0))))</f>
        <v/>
      </c>
      <c r="U1841" s="168"/>
      <c r="V1841" s="169" t="e">
        <f>IF(C1841="",NA(),MATCH($B1841&amp;$C1841,'Smelter Look-up'!$J:$J,0))</f>
        <v>#N/A</v>
      </c>
      <c r="X1841" s="170">
        <f t="shared" ca="1" si="143"/>
        <v>0</v>
      </c>
      <c r="AB1841" s="313" t="str">
        <f t="shared" si="145"/>
        <v/>
      </c>
      <c r="AC1841" s="170" t="str">
        <f t="shared" si="146"/>
        <v/>
      </c>
      <c r="AD1841" s="170" t="str">
        <f t="shared" si="147"/>
        <v/>
      </c>
    </row>
    <row r="1842" spans="1:30" s="170" customFormat="1" ht="20.399999999999999">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144"/>
        <v/>
      </c>
      <c r="T1842" s="155" t="str">
        <f ca="1">IF(B1842="","",IF(ISERROR(MATCH($J1842,SorP!$B$1:$B$6226,0)),"",INDIRECT("'SorP'!$A$"&amp;MATCH($S1842&amp;$J1842,SorP!C:C,0))))</f>
        <v/>
      </c>
      <c r="U1842" s="168"/>
      <c r="V1842" s="169" t="e">
        <f>IF(C1842="",NA(),MATCH($B1842&amp;$C1842,'Smelter Look-up'!$J:$J,0))</f>
        <v>#N/A</v>
      </c>
      <c r="X1842" s="170">
        <f t="shared" ca="1" si="143"/>
        <v>0</v>
      </c>
      <c r="AB1842" s="313" t="str">
        <f t="shared" si="145"/>
        <v/>
      </c>
      <c r="AC1842" s="170" t="str">
        <f t="shared" si="146"/>
        <v/>
      </c>
      <c r="AD1842" s="170" t="str">
        <f t="shared" si="147"/>
        <v/>
      </c>
    </row>
    <row r="1843" spans="1:30" s="170" customFormat="1" ht="20.399999999999999">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144"/>
        <v/>
      </c>
      <c r="T1843" s="155" t="str">
        <f ca="1">IF(B1843="","",IF(ISERROR(MATCH($J1843,SorP!$B$1:$B$6226,0)),"",INDIRECT("'SorP'!$A$"&amp;MATCH($S1843&amp;$J1843,SorP!C:C,0))))</f>
        <v/>
      </c>
      <c r="U1843" s="168"/>
      <c r="V1843" s="169" t="e">
        <f>IF(C1843="",NA(),MATCH($B1843&amp;$C1843,'Smelter Look-up'!$J:$J,0))</f>
        <v>#N/A</v>
      </c>
      <c r="X1843" s="170">
        <f t="shared" ca="1" si="143"/>
        <v>0</v>
      </c>
      <c r="AB1843" s="313" t="str">
        <f t="shared" si="145"/>
        <v/>
      </c>
      <c r="AC1843" s="170" t="str">
        <f t="shared" si="146"/>
        <v/>
      </c>
      <c r="AD1843" s="170" t="str">
        <f t="shared" si="147"/>
        <v/>
      </c>
    </row>
    <row r="1844" spans="1:30" s="170" customFormat="1" ht="20.399999999999999">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144"/>
        <v/>
      </c>
      <c r="T1844" s="155" t="str">
        <f ca="1">IF(B1844="","",IF(ISERROR(MATCH($J1844,SorP!$B$1:$B$6226,0)),"",INDIRECT("'SorP'!$A$"&amp;MATCH($S1844&amp;$J1844,SorP!C:C,0))))</f>
        <v/>
      </c>
      <c r="U1844" s="168"/>
      <c r="V1844" s="169" t="e">
        <f>IF(C1844="",NA(),MATCH($B1844&amp;$C1844,'Smelter Look-up'!$J:$J,0))</f>
        <v>#N/A</v>
      </c>
      <c r="X1844" s="170">
        <f t="shared" ca="1" si="143"/>
        <v>0</v>
      </c>
      <c r="AB1844" s="313" t="str">
        <f t="shared" si="145"/>
        <v/>
      </c>
      <c r="AC1844" s="170" t="str">
        <f t="shared" si="146"/>
        <v/>
      </c>
      <c r="AD1844" s="170" t="str">
        <f t="shared" si="147"/>
        <v/>
      </c>
    </row>
    <row r="1845" spans="1:30" s="170" customFormat="1" ht="20.399999999999999">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144"/>
        <v/>
      </c>
      <c r="T1845" s="155" t="str">
        <f ca="1">IF(B1845="","",IF(ISERROR(MATCH($J1845,SorP!$B$1:$B$6226,0)),"",INDIRECT("'SorP'!$A$"&amp;MATCH($S1845&amp;$J1845,SorP!C:C,0))))</f>
        <v/>
      </c>
      <c r="U1845" s="168"/>
      <c r="V1845" s="169" t="e">
        <f>IF(C1845="",NA(),MATCH($B1845&amp;$C1845,'Smelter Look-up'!$J:$J,0))</f>
        <v>#N/A</v>
      </c>
      <c r="X1845" s="170">
        <f t="shared" ca="1" si="143"/>
        <v>0</v>
      </c>
      <c r="AB1845" s="313" t="str">
        <f t="shared" si="145"/>
        <v/>
      </c>
      <c r="AC1845" s="170" t="str">
        <f t="shared" si="146"/>
        <v/>
      </c>
      <c r="AD1845" s="170" t="str">
        <f t="shared" si="147"/>
        <v/>
      </c>
    </row>
    <row r="1846" spans="1:30" s="170" customFormat="1" ht="20.399999999999999">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144"/>
        <v/>
      </c>
      <c r="T1846" s="155" t="str">
        <f ca="1">IF(B1846="","",IF(ISERROR(MATCH($J1846,SorP!$B$1:$B$6226,0)),"",INDIRECT("'SorP'!$A$"&amp;MATCH($S1846&amp;$J1846,SorP!C:C,0))))</f>
        <v/>
      </c>
      <c r="U1846" s="168"/>
      <c r="V1846" s="169" t="e">
        <f>IF(C1846="",NA(),MATCH($B1846&amp;$C1846,'Smelter Look-up'!$J:$J,0))</f>
        <v>#N/A</v>
      </c>
      <c r="X1846" s="170">
        <f t="shared" ca="1" si="143"/>
        <v>0</v>
      </c>
      <c r="AB1846" s="313" t="str">
        <f t="shared" si="145"/>
        <v/>
      </c>
      <c r="AC1846" s="170" t="str">
        <f t="shared" si="146"/>
        <v/>
      </c>
      <c r="AD1846" s="170" t="str">
        <f t="shared" si="147"/>
        <v/>
      </c>
    </row>
    <row r="1847" spans="1:30" s="170" customFormat="1" ht="20.399999999999999">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144"/>
        <v/>
      </c>
      <c r="T1847" s="155" t="str">
        <f ca="1">IF(B1847="","",IF(ISERROR(MATCH($J1847,SorP!$B$1:$B$6226,0)),"",INDIRECT("'SorP'!$A$"&amp;MATCH($S1847&amp;$J1847,SorP!C:C,0))))</f>
        <v/>
      </c>
      <c r="U1847" s="168"/>
      <c r="V1847" s="169" t="e">
        <f>IF(C1847="",NA(),MATCH($B1847&amp;$C1847,'Smelter Look-up'!$J:$J,0))</f>
        <v>#N/A</v>
      </c>
      <c r="X1847" s="170">
        <f t="shared" ca="1" si="143"/>
        <v>0</v>
      </c>
      <c r="AB1847" s="313" t="str">
        <f t="shared" si="145"/>
        <v/>
      </c>
      <c r="AC1847" s="170" t="str">
        <f t="shared" si="146"/>
        <v/>
      </c>
      <c r="AD1847" s="170" t="str">
        <f t="shared" si="147"/>
        <v/>
      </c>
    </row>
    <row r="1848" spans="1:30" s="170" customFormat="1" ht="20.399999999999999">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144"/>
        <v/>
      </c>
      <c r="T1848" s="155" t="str">
        <f ca="1">IF(B1848="","",IF(ISERROR(MATCH($J1848,SorP!$B$1:$B$6226,0)),"",INDIRECT("'SorP'!$A$"&amp;MATCH($S1848&amp;$J1848,SorP!C:C,0))))</f>
        <v/>
      </c>
      <c r="U1848" s="168"/>
      <c r="V1848" s="169" t="e">
        <f>IF(C1848="",NA(),MATCH($B1848&amp;$C1848,'Smelter Look-up'!$J:$J,0))</f>
        <v>#N/A</v>
      </c>
      <c r="X1848" s="170">
        <f t="shared" ca="1" si="143"/>
        <v>0</v>
      </c>
      <c r="AB1848" s="313" t="str">
        <f t="shared" si="145"/>
        <v/>
      </c>
      <c r="AC1848" s="170" t="str">
        <f t="shared" si="146"/>
        <v/>
      </c>
      <c r="AD1848" s="170" t="str">
        <f t="shared" si="147"/>
        <v/>
      </c>
    </row>
    <row r="1849" spans="1:30" s="170" customFormat="1" ht="20.399999999999999">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144"/>
        <v/>
      </c>
      <c r="T1849" s="155" t="str">
        <f ca="1">IF(B1849="","",IF(ISERROR(MATCH($J1849,SorP!$B$1:$B$6226,0)),"",INDIRECT("'SorP'!$A$"&amp;MATCH($S1849&amp;$J1849,SorP!C:C,0))))</f>
        <v/>
      </c>
      <c r="U1849" s="168"/>
      <c r="V1849" s="169" t="e">
        <f>IF(C1849="",NA(),MATCH($B1849&amp;$C1849,'Smelter Look-up'!$J:$J,0))</f>
        <v>#N/A</v>
      </c>
      <c r="X1849" s="170">
        <f t="shared" ca="1" si="143"/>
        <v>0</v>
      </c>
      <c r="AB1849" s="313" t="str">
        <f t="shared" si="145"/>
        <v/>
      </c>
      <c r="AC1849" s="170" t="str">
        <f t="shared" si="146"/>
        <v/>
      </c>
      <c r="AD1849" s="170" t="str">
        <f t="shared" si="147"/>
        <v/>
      </c>
    </row>
    <row r="1850" spans="1:30" s="170" customFormat="1" ht="20.399999999999999">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144"/>
        <v/>
      </c>
      <c r="T1850" s="155" t="str">
        <f ca="1">IF(B1850="","",IF(ISERROR(MATCH($J1850,SorP!$B$1:$B$6226,0)),"",INDIRECT("'SorP'!$A$"&amp;MATCH($S1850&amp;$J1850,SorP!C:C,0))))</f>
        <v/>
      </c>
      <c r="U1850" s="168"/>
      <c r="V1850" s="169" t="e">
        <f>IF(C1850="",NA(),MATCH($B1850&amp;$C1850,'Smelter Look-up'!$J:$J,0))</f>
        <v>#N/A</v>
      </c>
      <c r="X1850" s="170">
        <f t="shared" ca="1" si="143"/>
        <v>0</v>
      </c>
      <c r="AB1850" s="313" t="str">
        <f t="shared" si="145"/>
        <v/>
      </c>
      <c r="AC1850" s="170" t="str">
        <f t="shared" si="146"/>
        <v/>
      </c>
      <c r="AD1850" s="170" t="str">
        <f t="shared" si="147"/>
        <v/>
      </c>
    </row>
    <row r="1851" spans="1:30" s="170" customFormat="1" ht="20.399999999999999">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144"/>
        <v/>
      </c>
      <c r="T1851" s="155" t="str">
        <f ca="1">IF(B1851="","",IF(ISERROR(MATCH($J1851,SorP!$B$1:$B$6226,0)),"",INDIRECT("'SorP'!$A$"&amp;MATCH($S1851&amp;$J1851,SorP!C:C,0))))</f>
        <v/>
      </c>
      <c r="U1851" s="168"/>
      <c r="V1851" s="169" t="e">
        <f>IF(C1851="",NA(),MATCH($B1851&amp;$C1851,'Smelter Look-up'!$J:$J,0))</f>
        <v>#N/A</v>
      </c>
      <c r="X1851" s="170">
        <f t="shared" ca="1" si="143"/>
        <v>0</v>
      </c>
      <c r="AB1851" s="313" t="str">
        <f t="shared" si="145"/>
        <v/>
      </c>
      <c r="AC1851" s="170" t="str">
        <f t="shared" si="146"/>
        <v/>
      </c>
      <c r="AD1851" s="170" t="str">
        <f t="shared" si="147"/>
        <v/>
      </c>
    </row>
    <row r="1852" spans="1:30" s="170" customFormat="1" ht="20.399999999999999">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144"/>
        <v/>
      </c>
      <c r="T1852" s="155" t="str">
        <f ca="1">IF(B1852="","",IF(ISERROR(MATCH($J1852,SorP!$B$1:$B$6226,0)),"",INDIRECT("'SorP'!$A$"&amp;MATCH($S1852&amp;$J1852,SorP!C:C,0))))</f>
        <v/>
      </c>
      <c r="U1852" s="168"/>
      <c r="V1852" s="169" t="e">
        <f>IF(C1852="",NA(),MATCH($B1852&amp;$C1852,'Smelter Look-up'!$J:$J,0))</f>
        <v>#N/A</v>
      </c>
      <c r="X1852" s="170">
        <f t="shared" ca="1" si="143"/>
        <v>0</v>
      </c>
      <c r="AB1852" s="313" t="str">
        <f t="shared" si="145"/>
        <v/>
      </c>
      <c r="AC1852" s="170" t="str">
        <f t="shared" si="146"/>
        <v/>
      </c>
      <c r="AD1852" s="170" t="str">
        <f t="shared" si="147"/>
        <v/>
      </c>
    </row>
    <row r="1853" spans="1:30" s="170" customFormat="1" ht="20.399999999999999">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144"/>
        <v/>
      </c>
      <c r="T1853" s="155" t="str">
        <f ca="1">IF(B1853="","",IF(ISERROR(MATCH($J1853,SorP!$B$1:$B$6226,0)),"",INDIRECT("'SorP'!$A$"&amp;MATCH($S1853&amp;$J1853,SorP!C:C,0))))</f>
        <v/>
      </c>
      <c r="U1853" s="168"/>
      <c r="V1853" s="169" t="e">
        <f>IF(C1853="",NA(),MATCH($B1853&amp;$C1853,'Smelter Look-up'!$J:$J,0))</f>
        <v>#N/A</v>
      </c>
      <c r="X1853" s="170">
        <f t="shared" ca="1" si="143"/>
        <v>0</v>
      </c>
      <c r="AB1853" s="313" t="str">
        <f t="shared" si="145"/>
        <v/>
      </c>
      <c r="AC1853" s="170" t="str">
        <f t="shared" si="146"/>
        <v/>
      </c>
      <c r="AD1853" s="170" t="str">
        <f t="shared" si="147"/>
        <v/>
      </c>
    </row>
    <row r="1854" spans="1:30" s="170" customFormat="1" ht="20.399999999999999">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144"/>
        <v/>
      </c>
      <c r="T1854" s="155" t="str">
        <f ca="1">IF(B1854="","",IF(ISERROR(MATCH($J1854,SorP!$B$1:$B$6226,0)),"",INDIRECT("'SorP'!$A$"&amp;MATCH($S1854&amp;$J1854,SorP!C:C,0))))</f>
        <v/>
      </c>
      <c r="U1854" s="168"/>
      <c r="V1854" s="169" t="e">
        <f>IF(C1854="",NA(),MATCH($B1854&amp;$C1854,'Smelter Look-up'!$J:$J,0))</f>
        <v>#N/A</v>
      </c>
      <c r="X1854" s="170">
        <f t="shared" ca="1" si="143"/>
        <v>0</v>
      </c>
      <c r="AB1854" s="313" t="str">
        <f t="shared" si="145"/>
        <v/>
      </c>
      <c r="AC1854" s="170" t="str">
        <f t="shared" si="146"/>
        <v/>
      </c>
      <c r="AD1854" s="170" t="str">
        <f t="shared" si="147"/>
        <v/>
      </c>
    </row>
    <row r="1855" spans="1:30" s="170" customFormat="1" ht="20.399999999999999">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144"/>
        <v/>
      </c>
      <c r="T1855" s="155" t="str">
        <f ca="1">IF(B1855="","",IF(ISERROR(MATCH($J1855,SorP!$B$1:$B$6226,0)),"",INDIRECT("'SorP'!$A$"&amp;MATCH($S1855&amp;$J1855,SorP!C:C,0))))</f>
        <v/>
      </c>
      <c r="U1855" s="168"/>
      <c r="V1855" s="169" t="e">
        <f>IF(C1855="",NA(),MATCH($B1855&amp;$C1855,'Smelter Look-up'!$J:$J,0))</f>
        <v>#N/A</v>
      </c>
      <c r="X1855" s="170">
        <f t="shared" ref="X1855:X1918" ca="1" si="148">IF(AND(C1855="Smelter not listed",OR(LEN(D1855)=0,LEN(E1855)=0)),1,0)</f>
        <v>0</v>
      </c>
      <c r="AB1855" s="313" t="str">
        <f t="shared" si="145"/>
        <v/>
      </c>
      <c r="AC1855" s="170" t="str">
        <f t="shared" si="146"/>
        <v/>
      </c>
      <c r="AD1855" s="170" t="str">
        <f t="shared" si="147"/>
        <v/>
      </c>
    </row>
    <row r="1856" spans="1:30" s="170" customFormat="1" ht="20.399999999999999">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ref="S1856:S1919" ca="1" si="149">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148"/>
        <v>0</v>
      </c>
      <c r="AB1856" s="313" t="str">
        <f t="shared" si="145"/>
        <v/>
      </c>
      <c r="AC1856" s="170" t="str">
        <f t="shared" si="146"/>
        <v/>
      </c>
      <c r="AD1856" s="170" t="str">
        <f t="shared" si="147"/>
        <v/>
      </c>
    </row>
    <row r="1857" spans="1:30" s="170" customFormat="1" ht="20.399999999999999">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149"/>
        <v/>
      </c>
      <c r="T1857" s="155" t="str">
        <f ca="1">IF(B1857="","",IF(ISERROR(MATCH($J1857,SorP!$B$1:$B$6226,0)),"",INDIRECT("'SorP'!$A$"&amp;MATCH($S1857&amp;$J1857,SorP!C:C,0))))</f>
        <v/>
      </c>
      <c r="U1857" s="168"/>
      <c r="V1857" s="169" t="e">
        <f>IF(C1857="",NA(),MATCH($B1857&amp;$C1857,'Smelter Look-up'!$J:$J,0))</f>
        <v>#N/A</v>
      </c>
      <c r="X1857" s="170">
        <f t="shared" ca="1" si="148"/>
        <v>0</v>
      </c>
      <c r="AB1857" s="313" t="str">
        <f t="shared" si="145"/>
        <v/>
      </c>
      <c r="AC1857" s="170" t="str">
        <f t="shared" si="146"/>
        <v/>
      </c>
      <c r="AD1857" s="170" t="str">
        <f t="shared" si="147"/>
        <v/>
      </c>
    </row>
    <row r="1858" spans="1:30" s="170" customFormat="1" ht="20.399999999999999">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149"/>
        <v/>
      </c>
      <c r="T1858" s="155" t="str">
        <f ca="1">IF(B1858="","",IF(ISERROR(MATCH($J1858,SorP!$B$1:$B$6226,0)),"",INDIRECT("'SorP'!$A$"&amp;MATCH($S1858&amp;$J1858,SorP!C:C,0))))</f>
        <v/>
      </c>
      <c r="U1858" s="168"/>
      <c r="V1858" s="169" t="e">
        <f>IF(C1858="",NA(),MATCH($B1858&amp;$C1858,'Smelter Look-up'!$J:$J,0))</f>
        <v>#N/A</v>
      </c>
      <c r="X1858" s="170">
        <f t="shared" ca="1" si="148"/>
        <v>0</v>
      </c>
      <c r="AB1858" s="313" t="str">
        <f t="shared" si="145"/>
        <v/>
      </c>
      <c r="AC1858" s="170" t="str">
        <f t="shared" si="146"/>
        <v/>
      </c>
      <c r="AD1858" s="170" t="str">
        <f t="shared" si="147"/>
        <v/>
      </c>
    </row>
    <row r="1859" spans="1:30" s="170" customFormat="1" ht="20.399999999999999">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149"/>
        <v/>
      </c>
      <c r="T1859" s="155" t="str">
        <f ca="1">IF(B1859="","",IF(ISERROR(MATCH($J1859,SorP!$B$1:$B$6226,0)),"",INDIRECT("'SorP'!$A$"&amp;MATCH($S1859&amp;$J1859,SorP!C:C,0))))</f>
        <v/>
      </c>
      <c r="U1859" s="168"/>
      <c r="V1859" s="169" t="e">
        <f>IF(C1859="",NA(),MATCH($B1859&amp;$C1859,'Smelter Look-up'!$J:$J,0))</f>
        <v>#N/A</v>
      </c>
      <c r="X1859" s="170">
        <f t="shared" ca="1" si="148"/>
        <v>0</v>
      </c>
      <c r="AB1859" s="313" t="str">
        <f t="shared" si="145"/>
        <v/>
      </c>
      <c r="AC1859" s="170" t="str">
        <f t="shared" si="146"/>
        <v/>
      </c>
      <c r="AD1859" s="170" t="str">
        <f t="shared" si="147"/>
        <v/>
      </c>
    </row>
    <row r="1860" spans="1:30" s="170" customFormat="1" ht="20.399999999999999">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149"/>
        <v/>
      </c>
      <c r="T1860" s="155" t="str">
        <f ca="1">IF(B1860="","",IF(ISERROR(MATCH($J1860,SorP!$B$1:$B$6226,0)),"",INDIRECT("'SorP'!$A$"&amp;MATCH($S1860&amp;$J1860,SorP!C:C,0))))</f>
        <v/>
      </c>
      <c r="U1860" s="168"/>
      <c r="V1860" s="169" t="e">
        <f>IF(C1860="",NA(),MATCH($B1860&amp;$C1860,'Smelter Look-up'!$J:$J,0))</f>
        <v>#N/A</v>
      </c>
      <c r="X1860" s="170">
        <f t="shared" ca="1" si="148"/>
        <v>0</v>
      </c>
      <c r="AB1860" s="313" t="str">
        <f t="shared" si="145"/>
        <v/>
      </c>
      <c r="AC1860" s="170" t="str">
        <f t="shared" si="146"/>
        <v/>
      </c>
      <c r="AD1860" s="170" t="str">
        <f t="shared" si="147"/>
        <v/>
      </c>
    </row>
    <row r="1861" spans="1:30" s="170" customFormat="1" ht="20.399999999999999">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149"/>
        <v/>
      </c>
      <c r="T1861" s="155" t="str">
        <f ca="1">IF(B1861="","",IF(ISERROR(MATCH($J1861,SorP!$B$1:$B$6226,0)),"",INDIRECT("'SorP'!$A$"&amp;MATCH($S1861&amp;$J1861,SorP!C:C,0))))</f>
        <v/>
      </c>
      <c r="U1861" s="168"/>
      <c r="V1861" s="169" t="e">
        <f>IF(C1861="",NA(),MATCH($B1861&amp;$C1861,'Smelter Look-up'!$J:$J,0))</f>
        <v>#N/A</v>
      </c>
      <c r="X1861" s="170">
        <f t="shared" ca="1" si="148"/>
        <v>0</v>
      </c>
      <c r="AB1861" s="313" t="str">
        <f t="shared" si="145"/>
        <v/>
      </c>
      <c r="AC1861" s="170" t="str">
        <f t="shared" si="146"/>
        <v/>
      </c>
      <c r="AD1861" s="170" t="str">
        <f t="shared" si="147"/>
        <v/>
      </c>
    </row>
    <row r="1862" spans="1:30" s="170" customFormat="1" ht="20.399999999999999">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149"/>
        <v/>
      </c>
      <c r="T1862" s="155" t="str">
        <f ca="1">IF(B1862="","",IF(ISERROR(MATCH($J1862,SorP!$B$1:$B$6226,0)),"",INDIRECT("'SorP'!$A$"&amp;MATCH($S1862&amp;$J1862,SorP!C:C,0))))</f>
        <v/>
      </c>
      <c r="U1862" s="168"/>
      <c r="V1862" s="169" t="e">
        <f>IF(C1862="",NA(),MATCH($B1862&amp;$C1862,'Smelter Look-up'!$J:$J,0))</f>
        <v>#N/A</v>
      </c>
      <c r="X1862" s="170">
        <f t="shared" ca="1" si="148"/>
        <v>0</v>
      </c>
      <c r="AB1862" s="313" t="str">
        <f t="shared" ref="AB1862:AB1925" si="150">IF(C1862="","",B1862)</f>
        <v/>
      </c>
      <c r="AC1862" s="170" t="str">
        <f t="shared" ref="AC1862:AC1925" si="151">B1862</f>
        <v/>
      </c>
      <c r="AD1862" s="170" t="str">
        <f t="shared" ref="AD1862:AD1925" si="152">IF(C1862="Smelter not listed",D1862,C1862)</f>
        <v/>
      </c>
    </row>
    <row r="1863" spans="1:30" s="170" customFormat="1" ht="20.399999999999999">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149"/>
        <v/>
      </c>
      <c r="T1863" s="155" t="str">
        <f ca="1">IF(B1863="","",IF(ISERROR(MATCH($J1863,SorP!$B$1:$B$6226,0)),"",INDIRECT("'SorP'!$A$"&amp;MATCH($S1863&amp;$J1863,SorP!C:C,0))))</f>
        <v/>
      </c>
      <c r="U1863" s="168"/>
      <c r="V1863" s="169" t="e">
        <f>IF(C1863="",NA(),MATCH($B1863&amp;$C1863,'Smelter Look-up'!$J:$J,0))</f>
        <v>#N/A</v>
      </c>
      <c r="X1863" s="170">
        <f t="shared" ca="1" si="148"/>
        <v>0</v>
      </c>
      <c r="AB1863" s="313" t="str">
        <f t="shared" si="150"/>
        <v/>
      </c>
      <c r="AC1863" s="170" t="str">
        <f t="shared" si="151"/>
        <v/>
      </c>
      <c r="AD1863" s="170" t="str">
        <f t="shared" si="152"/>
        <v/>
      </c>
    </row>
    <row r="1864" spans="1:30" s="170" customFormat="1" ht="20.399999999999999">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149"/>
        <v/>
      </c>
      <c r="T1864" s="155" t="str">
        <f ca="1">IF(B1864="","",IF(ISERROR(MATCH($J1864,SorP!$B$1:$B$6226,0)),"",INDIRECT("'SorP'!$A$"&amp;MATCH($S1864&amp;$J1864,SorP!C:C,0))))</f>
        <v/>
      </c>
      <c r="U1864" s="168"/>
      <c r="V1864" s="169" t="e">
        <f>IF(C1864="",NA(),MATCH($B1864&amp;$C1864,'Smelter Look-up'!$J:$J,0))</f>
        <v>#N/A</v>
      </c>
      <c r="X1864" s="170">
        <f t="shared" ca="1" si="148"/>
        <v>0</v>
      </c>
      <c r="AB1864" s="313" t="str">
        <f t="shared" si="150"/>
        <v/>
      </c>
      <c r="AC1864" s="170" t="str">
        <f t="shared" si="151"/>
        <v/>
      </c>
      <c r="AD1864" s="170" t="str">
        <f t="shared" si="152"/>
        <v/>
      </c>
    </row>
    <row r="1865" spans="1:30" s="170" customFormat="1" ht="20.399999999999999">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149"/>
        <v/>
      </c>
      <c r="T1865" s="155" t="str">
        <f ca="1">IF(B1865="","",IF(ISERROR(MATCH($J1865,SorP!$B$1:$B$6226,0)),"",INDIRECT("'SorP'!$A$"&amp;MATCH($S1865&amp;$J1865,SorP!C:C,0))))</f>
        <v/>
      </c>
      <c r="U1865" s="168"/>
      <c r="V1865" s="169" t="e">
        <f>IF(C1865="",NA(),MATCH($B1865&amp;$C1865,'Smelter Look-up'!$J:$J,0))</f>
        <v>#N/A</v>
      </c>
      <c r="X1865" s="170">
        <f t="shared" ca="1" si="148"/>
        <v>0</v>
      </c>
      <c r="AB1865" s="313" t="str">
        <f t="shared" si="150"/>
        <v/>
      </c>
      <c r="AC1865" s="170" t="str">
        <f t="shared" si="151"/>
        <v/>
      </c>
      <c r="AD1865" s="170" t="str">
        <f t="shared" si="152"/>
        <v/>
      </c>
    </row>
    <row r="1866" spans="1:30" s="170" customFormat="1" ht="20.399999999999999">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149"/>
        <v/>
      </c>
      <c r="T1866" s="155" t="str">
        <f ca="1">IF(B1866="","",IF(ISERROR(MATCH($J1866,SorP!$B$1:$B$6226,0)),"",INDIRECT("'SorP'!$A$"&amp;MATCH($S1866&amp;$J1866,SorP!C:C,0))))</f>
        <v/>
      </c>
      <c r="U1866" s="168"/>
      <c r="V1866" s="169" t="e">
        <f>IF(C1866="",NA(),MATCH($B1866&amp;$C1866,'Smelter Look-up'!$J:$J,0))</f>
        <v>#N/A</v>
      </c>
      <c r="X1866" s="170">
        <f t="shared" ca="1" si="148"/>
        <v>0</v>
      </c>
      <c r="AB1866" s="313" t="str">
        <f t="shared" si="150"/>
        <v/>
      </c>
      <c r="AC1866" s="170" t="str">
        <f t="shared" si="151"/>
        <v/>
      </c>
      <c r="AD1866" s="170" t="str">
        <f t="shared" si="152"/>
        <v/>
      </c>
    </row>
    <row r="1867" spans="1:30" s="170" customFormat="1" ht="20.399999999999999">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149"/>
        <v/>
      </c>
      <c r="T1867" s="155" t="str">
        <f ca="1">IF(B1867="","",IF(ISERROR(MATCH($J1867,SorP!$B$1:$B$6226,0)),"",INDIRECT("'SorP'!$A$"&amp;MATCH($S1867&amp;$J1867,SorP!C:C,0))))</f>
        <v/>
      </c>
      <c r="U1867" s="168"/>
      <c r="V1867" s="169" t="e">
        <f>IF(C1867="",NA(),MATCH($B1867&amp;$C1867,'Smelter Look-up'!$J:$J,0))</f>
        <v>#N/A</v>
      </c>
      <c r="X1867" s="170">
        <f t="shared" ca="1" si="148"/>
        <v>0</v>
      </c>
      <c r="AB1867" s="313" t="str">
        <f t="shared" si="150"/>
        <v/>
      </c>
      <c r="AC1867" s="170" t="str">
        <f t="shared" si="151"/>
        <v/>
      </c>
      <c r="AD1867" s="170" t="str">
        <f t="shared" si="152"/>
        <v/>
      </c>
    </row>
    <row r="1868" spans="1:30" s="170" customFormat="1" ht="20.399999999999999">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149"/>
        <v/>
      </c>
      <c r="T1868" s="155" t="str">
        <f ca="1">IF(B1868="","",IF(ISERROR(MATCH($J1868,SorP!$B$1:$B$6226,0)),"",INDIRECT("'SorP'!$A$"&amp;MATCH($S1868&amp;$J1868,SorP!C:C,0))))</f>
        <v/>
      </c>
      <c r="U1868" s="168"/>
      <c r="V1868" s="169" t="e">
        <f>IF(C1868="",NA(),MATCH($B1868&amp;$C1868,'Smelter Look-up'!$J:$J,0))</f>
        <v>#N/A</v>
      </c>
      <c r="X1868" s="170">
        <f t="shared" ca="1" si="148"/>
        <v>0</v>
      </c>
      <c r="AB1868" s="313" t="str">
        <f t="shared" si="150"/>
        <v/>
      </c>
      <c r="AC1868" s="170" t="str">
        <f t="shared" si="151"/>
        <v/>
      </c>
      <c r="AD1868" s="170" t="str">
        <f t="shared" si="152"/>
        <v/>
      </c>
    </row>
    <row r="1869" spans="1:30" s="170" customFormat="1" ht="20.399999999999999">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149"/>
        <v/>
      </c>
      <c r="T1869" s="155" t="str">
        <f ca="1">IF(B1869="","",IF(ISERROR(MATCH($J1869,SorP!$B$1:$B$6226,0)),"",INDIRECT("'SorP'!$A$"&amp;MATCH($S1869&amp;$J1869,SorP!C:C,0))))</f>
        <v/>
      </c>
      <c r="U1869" s="168"/>
      <c r="V1869" s="169" t="e">
        <f>IF(C1869="",NA(),MATCH($B1869&amp;$C1869,'Smelter Look-up'!$J:$J,0))</f>
        <v>#N/A</v>
      </c>
      <c r="X1869" s="170">
        <f t="shared" ca="1" si="148"/>
        <v>0</v>
      </c>
      <c r="AB1869" s="313" t="str">
        <f t="shared" si="150"/>
        <v/>
      </c>
      <c r="AC1869" s="170" t="str">
        <f t="shared" si="151"/>
        <v/>
      </c>
      <c r="AD1869" s="170" t="str">
        <f t="shared" si="152"/>
        <v/>
      </c>
    </row>
    <row r="1870" spans="1:30" s="170" customFormat="1" ht="20.399999999999999">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149"/>
        <v/>
      </c>
      <c r="T1870" s="155" t="str">
        <f ca="1">IF(B1870="","",IF(ISERROR(MATCH($J1870,SorP!$B$1:$B$6226,0)),"",INDIRECT("'SorP'!$A$"&amp;MATCH($S1870&amp;$J1870,SorP!C:C,0))))</f>
        <v/>
      </c>
      <c r="U1870" s="168"/>
      <c r="V1870" s="169" t="e">
        <f>IF(C1870="",NA(),MATCH($B1870&amp;$C1870,'Smelter Look-up'!$J:$J,0))</f>
        <v>#N/A</v>
      </c>
      <c r="X1870" s="170">
        <f t="shared" ca="1" si="148"/>
        <v>0</v>
      </c>
      <c r="AB1870" s="313" t="str">
        <f t="shared" si="150"/>
        <v/>
      </c>
      <c r="AC1870" s="170" t="str">
        <f t="shared" si="151"/>
        <v/>
      </c>
      <c r="AD1870" s="170" t="str">
        <f t="shared" si="152"/>
        <v/>
      </c>
    </row>
    <row r="1871" spans="1:30" s="170" customFormat="1" ht="20.399999999999999">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149"/>
        <v/>
      </c>
      <c r="T1871" s="155" t="str">
        <f ca="1">IF(B1871="","",IF(ISERROR(MATCH($J1871,SorP!$B$1:$B$6226,0)),"",INDIRECT("'SorP'!$A$"&amp;MATCH($S1871&amp;$J1871,SorP!C:C,0))))</f>
        <v/>
      </c>
      <c r="U1871" s="168"/>
      <c r="V1871" s="169" t="e">
        <f>IF(C1871="",NA(),MATCH($B1871&amp;$C1871,'Smelter Look-up'!$J:$J,0))</f>
        <v>#N/A</v>
      </c>
      <c r="X1871" s="170">
        <f t="shared" ca="1" si="148"/>
        <v>0</v>
      </c>
      <c r="AB1871" s="313" t="str">
        <f t="shared" si="150"/>
        <v/>
      </c>
      <c r="AC1871" s="170" t="str">
        <f t="shared" si="151"/>
        <v/>
      </c>
      <c r="AD1871" s="170" t="str">
        <f t="shared" si="152"/>
        <v/>
      </c>
    </row>
    <row r="1872" spans="1:30" s="170" customFormat="1" ht="20.399999999999999">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149"/>
        <v/>
      </c>
      <c r="T1872" s="155" t="str">
        <f ca="1">IF(B1872="","",IF(ISERROR(MATCH($J1872,SorP!$B$1:$B$6226,0)),"",INDIRECT("'SorP'!$A$"&amp;MATCH($S1872&amp;$J1872,SorP!C:C,0))))</f>
        <v/>
      </c>
      <c r="U1872" s="168"/>
      <c r="V1872" s="169" t="e">
        <f>IF(C1872="",NA(),MATCH($B1872&amp;$C1872,'Smelter Look-up'!$J:$J,0))</f>
        <v>#N/A</v>
      </c>
      <c r="X1872" s="170">
        <f t="shared" ca="1" si="148"/>
        <v>0</v>
      </c>
      <c r="AB1872" s="313" t="str">
        <f t="shared" si="150"/>
        <v/>
      </c>
      <c r="AC1872" s="170" t="str">
        <f t="shared" si="151"/>
        <v/>
      </c>
      <c r="AD1872" s="170" t="str">
        <f t="shared" si="152"/>
        <v/>
      </c>
    </row>
    <row r="1873" spans="1:30" s="170" customFormat="1" ht="20.399999999999999">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149"/>
        <v/>
      </c>
      <c r="T1873" s="155" t="str">
        <f ca="1">IF(B1873="","",IF(ISERROR(MATCH($J1873,SorP!$B$1:$B$6226,0)),"",INDIRECT("'SorP'!$A$"&amp;MATCH($S1873&amp;$J1873,SorP!C:C,0))))</f>
        <v/>
      </c>
      <c r="U1873" s="168"/>
      <c r="V1873" s="169" t="e">
        <f>IF(C1873="",NA(),MATCH($B1873&amp;$C1873,'Smelter Look-up'!$J:$J,0))</f>
        <v>#N/A</v>
      </c>
      <c r="X1873" s="170">
        <f t="shared" ca="1" si="148"/>
        <v>0</v>
      </c>
      <c r="AB1873" s="313" t="str">
        <f t="shared" si="150"/>
        <v/>
      </c>
      <c r="AC1873" s="170" t="str">
        <f t="shared" si="151"/>
        <v/>
      </c>
      <c r="AD1873" s="170" t="str">
        <f t="shared" si="152"/>
        <v/>
      </c>
    </row>
    <row r="1874" spans="1:30" s="170" customFormat="1" ht="20.399999999999999">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149"/>
        <v/>
      </c>
      <c r="T1874" s="155" t="str">
        <f ca="1">IF(B1874="","",IF(ISERROR(MATCH($J1874,SorP!$B$1:$B$6226,0)),"",INDIRECT("'SorP'!$A$"&amp;MATCH($S1874&amp;$J1874,SorP!C:C,0))))</f>
        <v/>
      </c>
      <c r="U1874" s="168"/>
      <c r="V1874" s="169" t="e">
        <f>IF(C1874="",NA(),MATCH($B1874&amp;$C1874,'Smelter Look-up'!$J:$J,0))</f>
        <v>#N/A</v>
      </c>
      <c r="X1874" s="170">
        <f t="shared" ca="1" si="148"/>
        <v>0</v>
      </c>
      <c r="AB1874" s="313" t="str">
        <f t="shared" si="150"/>
        <v/>
      </c>
      <c r="AC1874" s="170" t="str">
        <f t="shared" si="151"/>
        <v/>
      </c>
      <c r="AD1874" s="170" t="str">
        <f t="shared" si="152"/>
        <v/>
      </c>
    </row>
    <row r="1875" spans="1:30" s="170" customFormat="1" ht="20.399999999999999">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149"/>
        <v/>
      </c>
      <c r="T1875" s="155" t="str">
        <f ca="1">IF(B1875="","",IF(ISERROR(MATCH($J1875,SorP!$B$1:$B$6226,0)),"",INDIRECT("'SorP'!$A$"&amp;MATCH($S1875&amp;$J1875,SorP!C:C,0))))</f>
        <v/>
      </c>
      <c r="U1875" s="168"/>
      <c r="V1875" s="169" t="e">
        <f>IF(C1875="",NA(),MATCH($B1875&amp;$C1875,'Smelter Look-up'!$J:$J,0))</f>
        <v>#N/A</v>
      </c>
      <c r="X1875" s="170">
        <f t="shared" ca="1" si="148"/>
        <v>0</v>
      </c>
      <c r="AB1875" s="313" t="str">
        <f t="shared" si="150"/>
        <v/>
      </c>
      <c r="AC1875" s="170" t="str">
        <f t="shared" si="151"/>
        <v/>
      </c>
      <c r="AD1875" s="170" t="str">
        <f t="shared" si="152"/>
        <v/>
      </c>
    </row>
    <row r="1876" spans="1:30" s="170" customFormat="1" ht="20.399999999999999">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149"/>
        <v/>
      </c>
      <c r="T1876" s="155" t="str">
        <f ca="1">IF(B1876="","",IF(ISERROR(MATCH($J1876,SorP!$B$1:$B$6226,0)),"",INDIRECT("'SorP'!$A$"&amp;MATCH($S1876&amp;$J1876,SorP!C:C,0))))</f>
        <v/>
      </c>
      <c r="U1876" s="168"/>
      <c r="V1876" s="169" t="e">
        <f>IF(C1876="",NA(),MATCH($B1876&amp;$C1876,'Smelter Look-up'!$J:$J,0))</f>
        <v>#N/A</v>
      </c>
      <c r="X1876" s="170">
        <f t="shared" ca="1" si="148"/>
        <v>0</v>
      </c>
      <c r="AB1876" s="313" t="str">
        <f t="shared" si="150"/>
        <v/>
      </c>
      <c r="AC1876" s="170" t="str">
        <f t="shared" si="151"/>
        <v/>
      </c>
      <c r="AD1876" s="170" t="str">
        <f t="shared" si="152"/>
        <v/>
      </c>
    </row>
    <row r="1877" spans="1:30" s="170" customFormat="1" ht="20.399999999999999">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149"/>
        <v/>
      </c>
      <c r="T1877" s="155" t="str">
        <f ca="1">IF(B1877="","",IF(ISERROR(MATCH($J1877,SorP!$B$1:$B$6226,0)),"",INDIRECT("'SorP'!$A$"&amp;MATCH($S1877&amp;$J1877,SorP!C:C,0))))</f>
        <v/>
      </c>
      <c r="U1877" s="168"/>
      <c r="V1877" s="169" t="e">
        <f>IF(C1877="",NA(),MATCH($B1877&amp;$C1877,'Smelter Look-up'!$J:$J,0))</f>
        <v>#N/A</v>
      </c>
      <c r="X1877" s="170">
        <f t="shared" ca="1" si="148"/>
        <v>0</v>
      </c>
      <c r="AB1877" s="313" t="str">
        <f t="shared" si="150"/>
        <v/>
      </c>
      <c r="AC1877" s="170" t="str">
        <f t="shared" si="151"/>
        <v/>
      </c>
      <c r="AD1877" s="170" t="str">
        <f t="shared" si="152"/>
        <v/>
      </c>
    </row>
    <row r="1878" spans="1:30" s="170" customFormat="1" ht="20.399999999999999">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149"/>
        <v/>
      </c>
      <c r="T1878" s="155" t="str">
        <f ca="1">IF(B1878="","",IF(ISERROR(MATCH($J1878,SorP!$B$1:$B$6226,0)),"",INDIRECT("'SorP'!$A$"&amp;MATCH($S1878&amp;$J1878,SorP!C:C,0))))</f>
        <v/>
      </c>
      <c r="U1878" s="168"/>
      <c r="V1878" s="169" t="e">
        <f>IF(C1878="",NA(),MATCH($B1878&amp;$C1878,'Smelter Look-up'!$J:$J,0))</f>
        <v>#N/A</v>
      </c>
      <c r="X1878" s="170">
        <f t="shared" ca="1" si="148"/>
        <v>0</v>
      </c>
      <c r="AB1878" s="313" t="str">
        <f t="shared" si="150"/>
        <v/>
      </c>
      <c r="AC1878" s="170" t="str">
        <f t="shared" si="151"/>
        <v/>
      </c>
      <c r="AD1878" s="170" t="str">
        <f t="shared" si="152"/>
        <v/>
      </c>
    </row>
    <row r="1879" spans="1:30" s="170" customFormat="1" ht="20.399999999999999">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149"/>
        <v/>
      </c>
      <c r="T1879" s="155" t="str">
        <f ca="1">IF(B1879="","",IF(ISERROR(MATCH($J1879,SorP!$B$1:$B$6226,0)),"",INDIRECT("'SorP'!$A$"&amp;MATCH($S1879&amp;$J1879,SorP!C:C,0))))</f>
        <v/>
      </c>
      <c r="U1879" s="168"/>
      <c r="V1879" s="169" t="e">
        <f>IF(C1879="",NA(),MATCH($B1879&amp;$C1879,'Smelter Look-up'!$J:$J,0))</f>
        <v>#N/A</v>
      </c>
      <c r="X1879" s="170">
        <f t="shared" ca="1" si="148"/>
        <v>0</v>
      </c>
      <c r="AB1879" s="313" t="str">
        <f t="shared" si="150"/>
        <v/>
      </c>
      <c r="AC1879" s="170" t="str">
        <f t="shared" si="151"/>
        <v/>
      </c>
      <c r="AD1879" s="170" t="str">
        <f t="shared" si="152"/>
        <v/>
      </c>
    </row>
    <row r="1880" spans="1:30" s="170" customFormat="1" ht="20.399999999999999">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149"/>
        <v/>
      </c>
      <c r="T1880" s="155" t="str">
        <f ca="1">IF(B1880="","",IF(ISERROR(MATCH($J1880,SorP!$B$1:$B$6226,0)),"",INDIRECT("'SorP'!$A$"&amp;MATCH($S1880&amp;$J1880,SorP!C:C,0))))</f>
        <v/>
      </c>
      <c r="U1880" s="168"/>
      <c r="V1880" s="169" t="e">
        <f>IF(C1880="",NA(),MATCH($B1880&amp;$C1880,'Smelter Look-up'!$J:$J,0))</f>
        <v>#N/A</v>
      </c>
      <c r="X1880" s="170">
        <f t="shared" ca="1" si="148"/>
        <v>0</v>
      </c>
      <c r="AB1880" s="313" t="str">
        <f t="shared" si="150"/>
        <v/>
      </c>
      <c r="AC1880" s="170" t="str">
        <f t="shared" si="151"/>
        <v/>
      </c>
      <c r="AD1880" s="170" t="str">
        <f t="shared" si="152"/>
        <v/>
      </c>
    </row>
    <row r="1881" spans="1:30" s="170" customFormat="1" ht="20.399999999999999">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149"/>
        <v/>
      </c>
      <c r="T1881" s="155" t="str">
        <f ca="1">IF(B1881="","",IF(ISERROR(MATCH($J1881,SorP!$B$1:$B$6226,0)),"",INDIRECT("'SorP'!$A$"&amp;MATCH($S1881&amp;$J1881,SorP!C:C,0))))</f>
        <v/>
      </c>
      <c r="U1881" s="168"/>
      <c r="V1881" s="169" t="e">
        <f>IF(C1881="",NA(),MATCH($B1881&amp;$C1881,'Smelter Look-up'!$J:$J,0))</f>
        <v>#N/A</v>
      </c>
      <c r="X1881" s="170">
        <f t="shared" ca="1" si="148"/>
        <v>0</v>
      </c>
      <c r="AB1881" s="313" t="str">
        <f t="shared" si="150"/>
        <v/>
      </c>
      <c r="AC1881" s="170" t="str">
        <f t="shared" si="151"/>
        <v/>
      </c>
      <c r="AD1881" s="170" t="str">
        <f t="shared" si="152"/>
        <v/>
      </c>
    </row>
    <row r="1882" spans="1:30" s="170" customFormat="1" ht="20.399999999999999">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149"/>
        <v/>
      </c>
      <c r="T1882" s="155" t="str">
        <f ca="1">IF(B1882="","",IF(ISERROR(MATCH($J1882,SorP!$B$1:$B$6226,0)),"",INDIRECT("'SorP'!$A$"&amp;MATCH($S1882&amp;$J1882,SorP!C:C,0))))</f>
        <v/>
      </c>
      <c r="U1882" s="168"/>
      <c r="V1882" s="169" t="e">
        <f>IF(C1882="",NA(),MATCH($B1882&amp;$C1882,'Smelter Look-up'!$J:$J,0))</f>
        <v>#N/A</v>
      </c>
      <c r="X1882" s="170">
        <f t="shared" ca="1" si="148"/>
        <v>0</v>
      </c>
      <c r="AB1882" s="313" t="str">
        <f t="shared" si="150"/>
        <v/>
      </c>
      <c r="AC1882" s="170" t="str">
        <f t="shared" si="151"/>
        <v/>
      </c>
      <c r="AD1882" s="170" t="str">
        <f t="shared" si="152"/>
        <v/>
      </c>
    </row>
    <row r="1883" spans="1:30" s="170" customFormat="1" ht="20.399999999999999">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149"/>
        <v/>
      </c>
      <c r="T1883" s="155" t="str">
        <f ca="1">IF(B1883="","",IF(ISERROR(MATCH($J1883,SorP!$B$1:$B$6226,0)),"",INDIRECT("'SorP'!$A$"&amp;MATCH($S1883&amp;$J1883,SorP!C:C,0))))</f>
        <v/>
      </c>
      <c r="U1883" s="168"/>
      <c r="V1883" s="169" t="e">
        <f>IF(C1883="",NA(),MATCH($B1883&amp;$C1883,'Smelter Look-up'!$J:$J,0))</f>
        <v>#N/A</v>
      </c>
      <c r="X1883" s="170">
        <f t="shared" ca="1" si="148"/>
        <v>0</v>
      </c>
      <c r="AB1883" s="313" t="str">
        <f t="shared" si="150"/>
        <v/>
      </c>
      <c r="AC1883" s="170" t="str">
        <f t="shared" si="151"/>
        <v/>
      </c>
      <c r="AD1883" s="170" t="str">
        <f t="shared" si="152"/>
        <v/>
      </c>
    </row>
    <row r="1884" spans="1:30" s="170" customFormat="1" ht="20.399999999999999">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149"/>
        <v/>
      </c>
      <c r="T1884" s="155" t="str">
        <f ca="1">IF(B1884="","",IF(ISERROR(MATCH($J1884,SorP!$B$1:$B$6226,0)),"",INDIRECT("'SorP'!$A$"&amp;MATCH($S1884&amp;$J1884,SorP!C:C,0))))</f>
        <v/>
      </c>
      <c r="U1884" s="168"/>
      <c r="V1884" s="169" t="e">
        <f>IF(C1884="",NA(),MATCH($B1884&amp;$C1884,'Smelter Look-up'!$J:$J,0))</f>
        <v>#N/A</v>
      </c>
      <c r="X1884" s="170">
        <f t="shared" ca="1" si="148"/>
        <v>0</v>
      </c>
      <c r="AB1884" s="313" t="str">
        <f t="shared" si="150"/>
        <v/>
      </c>
      <c r="AC1884" s="170" t="str">
        <f t="shared" si="151"/>
        <v/>
      </c>
      <c r="AD1884" s="170" t="str">
        <f t="shared" si="152"/>
        <v/>
      </c>
    </row>
    <row r="1885" spans="1:30" s="170" customFormat="1" ht="20.399999999999999">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149"/>
        <v/>
      </c>
      <c r="T1885" s="155" t="str">
        <f ca="1">IF(B1885="","",IF(ISERROR(MATCH($J1885,SorP!$B$1:$B$6226,0)),"",INDIRECT("'SorP'!$A$"&amp;MATCH($S1885&amp;$J1885,SorP!C:C,0))))</f>
        <v/>
      </c>
      <c r="U1885" s="168"/>
      <c r="V1885" s="169" t="e">
        <f>IF(C1885="",NA(),MATCH($B1885&amp;$C1885,'Smelter Look-up'!$J:$J,0))</f>
        <v>#N/A</v>
      </c>
      <c r="X1885" s="170">
        <f t="shared" ca="1" si="148"/>
        <v>0</v>
      </c>
      <c r="AB1885" s="313" t="str">
        <f t="shared" si="150"/>
        <v/>
      </c>
      <c r="AC1885" s="170" t="str">
        <f t="shared" si="151"/>
        <v/>
      </c>
      <c r="AD1885" s="170" t="str">
        <f t="shared" si="152"/>
        <v/>
      </c>
    </row>
    <row r="1886" spans="1:30" s="170" customFormat="1" ht="20.399999999999999">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149"/>
        <v/>
      </c>
      <c r="T1886" s="155" t="str">
        <f ca="1">IF(B1886="","",IF(ISERROR(MATCH($J1886,SorP!$B$1:$B$6226,0)),"",INDIRECT("'SorP'!$A$"&amp;MATCH($S1886&amp;$J1886,SorP!C:C,0))))</f>
        <v/>
      </c>
      <c r="U1886" s="168"/>
      <c r="V1886" s="169" t="e">
        <f>IF(C1886="",NA(),MATCH($B1886&amp;$C1886,'Smelter Look-up'!$J:$J,0))</f>
        <v>#N/A</v>
      </c>
      <c r="X1886" s="170">
        <f t="shared" ca="1" si="148"/>
        <v>0</v>
      </c>
      <c r="AB1886" s="313" t="str">
        <f t="shared" si="150"/>
        <v/>
      </c>
      <c r="AC1886" s="170" t="str">
        <f t="shared" si="151"/>
        <v/>
      </c>
      <c r="AD1886" s="170" t="str">
        <f t="shared" si="152"/>
        <v/>
      </c>
    </row>
    <row r="1887" spans="1:30" s="170" customFormat="1" ht="20.399999999999999">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149"/>
        <v/>
      </c>
      <c r="T1887" s="155" t="str">
        <f ca="1">IF(B1887="","",IF(ISERROR(MATCH($J1887,SorP!$B$1:$B$6226,0)),"",INDIRECT("'SorP'!$A$"&amp;MATCH($S1887&amp;$J1887,SorP!C:C,0))))</f>
        <v/>
      </c>
      <c r="U1887" s="168"/>
      <c r="V1887" s="169" t="e">
        <f>IF(C1887="",NA(),MATCH($B1887&amp;$C1887,'Smelter Look-up'!$J:$J,0))</f>
        <v>#N/A</v>
      </c>
      <c r="X1887" s="170">
        <f t="shared" ca="1" si="148"/>
        <v>0</v>
      </c>
      <c r="AB1887" s="313" t="str">
        <f t="shared" si="150"/>
        <v/>
      </c>
      <c r="AC1887" s="170" t="str">
        <f t="shared" si="151"/>
        <v/>
      </c>
      <c r="AD1887" s="170" t="str">
        <f t="shared" si="152"/>
        <v/>
      </c>
    </row>
    <row r="1888" spans="1:30" s="170" customFormat="1" ht="20.399999999999999">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149"/>
        <v/>
      </c>
      <c r="T1888" s="155" t="str">
        <f ca="1">IF(B1888="","",IF(ISERROR(MATCH($J1888,SorP!$B$1:$B$6226,0)),"",INDIRECT("'SorP'!$A$"&amp;MATCH($S1888&amp;$J1888,SorP!C:C,0))))</f>
        <v/>
      </c>
      <c r="U1888" s="168"/>
      <c r="V1888" s="169" t="e">
        <f>IF(C1888="",NA(),MATCH($B1888&amp;$C1888,'Smelter Look-up'!$J:$J,0))</f>
        <v>#N/A</v>
      </c>
      <c r="X1888" s="170">
        <f t="shared" ca="1" si="148"/>
        <v>0</v>
      </c>
      <c r="AB1888" s="313" t="str">
        <f t="shared" si="150"/>
        <v/>
      </c>
      <c r="AC1888" s="170" t="str">
        <f t="shared" si="151"/>
        <v/>
      </c>
      <c r="AD1888" s="170" t="str">
        <f t="shared" si="152"/>
        <v/>
      </c>
    </row>
    <row r="1889" spans="1:30" s="170" customFormat="1" ht="20.399999999999999">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149"/>
        <v/>
      </c>
      <c r="T1889" s="155" t="str">
        <f ca="1">IF(B1889="","",IF(ISERROR(MATCH($J1889,SorP!$B$1:$B$6226,0)),"",INDIRECT("'SorP'!$A$"&amp;MATCH($S1889&amp;$J1889,SorP!C:C,0))))</f>
        <v/>
      </c>
      <c r="U1889" s="168"/>
      <c r="V1889" s="169" t="e">
        <f>IF(C1889="",NA(),MATCH($B1889&amp;$C1889,'Smelter Look-up'!$J:$J,0))</f>
        <v>#N/A</v>
      </c>
      <c r="X1889" s="170">
        <f t="shared" ca="1" si="148"/>
        <v>0</v>
      </c>
      <c r="AB1889" s="313" t="str">
        <f t="shared" si="150"/>
        <v/>
      </c>
      <c r="AC1889" s="170" t="str">
        <f t="shared" si="151"/>
        <v/>
      </c>
      <c r="AD1889" s="170" t="str">
        <f t="shared" si="152"/>
        <v/>
      </c>
    </row>
    <row r="1890" spans="1:30" s="170" customFormat="1" ht="20.399999999999999">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149"/>
        <v/>
      </c>
      <c r="T1890" s="155" t="str">
        <f ca="1">IF(B1890="","",IF(ISERROR(MATCH($J1890,SorP!$B$1:$B$6226,0)),"",INDIRECT("'SorP'!$A$"&amp;MATCH($S1890&amp;$J1890,SorP!C:C,0))))</f>
        <v/>
      </c>
      <c r="U1890" s="168"/>
      <c r="V1890" s="169" t="e">
        <f>IF(C1890="",NA(),MATCH($B1890&amp;$C1890,'Smelter Look-up'!$J:$J,0))</f>
        <v>#N/A</v>
      </c>
      <c r="X1890" s="170">
        <f t="shared" ca="1" si="148"/>
        <v>0</v>
      </c>
      <c r="AB1890" s="313" t="str">
        <f t="shared" si="150"/>
        <v/>
      </c>
      <c r="AC1890" s="170" t="str">
        <f t="shared" si="151"/>
        <v/>
      </c>
      <c r="AD1890" s="170" t="str">
        <f t="shared" si="152"/>
        <v/>
      </c>
    </row>
    <row r="1891" spans="1:30" s="170" customFormat="1" ht="20.399999999999999">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149"/>
        <v/>
      </c>
      <c r="T1891" s="155" t="str">
        <f ca="1">IF(B1891="","",IF(ISERROR(MATCH($J1891,SorP!$B$1:$B$6226,0)),"",INDIRECT("'SorP'!$A$"&amp;MATCH($S1891&amp;$J1891,SorP!C:C,0))))</f>
        <v/>
      </c>
      <c r="U1891" s="168"/>
      <c r="V1891" s="169" t="e">
        <f>IF(C1891="",NA(),MATCH($B1891&amp;$C1891,'Smelter Look-up'!$J:$J,0))</f>
        <v>#N/A</v>
      </c>
      <c r="X1891" s="170">
        <f t="shared" ca="1" si="148"/>
        <v>0</v>
      </c>
      <c r="AB1891" s="313" t="str">
        <f t="shared" si="150"/>
        <v/>
      </c>
      <c r="AC1891" s="170" t="str">
        <f t="shared" si="151"/>
        <v/>
      </c>
      <c r="AD1891" s="170" t="str">
        <f t="shared" si="152"/>
        <v/>
      </c>
    </row>
    <row r="1892" spans="1:30" s="170" customFormat="1" ht="20.399999999999999">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149"/>
        <v/>
      </c>
      <c r="T1892" s="155" t="str">
        <f ca="1">IF(B1892="","",IF(ISERROR(MATCH($J1892,SorP!$B$1:$B$6226,0)),"",INDIRECT("'SorP'!$A$"&amp;MATCH($S1892&amp;$J1892,SorP!C:C,0))))</f>
        <v/>
      </c>
      <c r="U1892" s="168"/>
      <c r="V1892" s="169" t="e">
        <f>IF(C1892="",NA(),MATCH($B1892&amp;$C1892,'Smelter Look-up'!$J:$J,0))</f>
        <v>#N/A</v>
      </c>
      <c r="X1892" s="170">
        <f t="shared" ca="1" si="148"/>
        <v>0</v>
      </c>
      <c r="AB1892" s="313" t="str">
        <f t="shared" si="150"/>
        <v/>
      </c>
      <c r="AC1892" s="170" t="str">
        <f t="shared" si="151"/>
        <v/>
      </c>
      <c r="AD1892" s="170" t="str">
        <f t="shared" si="152"/>
        <v/>
      </c>
    </row>
    <row r="1893" spans="1:30" s="170" customFormat="1" ht="20.399999999999999">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149"/>
        <v/>
      </c>
      <c r="T1893" s="155" t="str">
        <f ca="1">IF(B1893="","",IF(ISERROR(MATCH($J1893,SorP!$B$1:$B$6226,0)),"",INDIRECT("'SorP'!$A$"&amp;MATCH($S1893&amp;$J1893,SorP!C:C,0))))</f>
        <v/>
      </c>
      <c r="U1893" s="168"/>
      <c r="V1893" s="169" t="e">
        <f>IF(C1893="",NA(),MATCH($B1893&amp;$C1893,'Smelter Look-up'!$J:$J,0))</f>
        <v>#N/A</v>
      </c>
      <c r="X1893" s="170">
        <f t="shared" ca="1" si="148"/>
        <v>0</v>
      </c>
      <c r="AB1893" s="313" t="str">
        <f t="shared" si="150"/>
        <v/>
      </c>
      <c r="AC1893" s="170" t="str">
        <f t="shared" si="151"/>
        <v/>
      </c>
      <c r="AD1893" s="170" t="str">
        <f t="shared" si="152"/>
        <v/>
      </c>
    </row>
    <row r="1894" spans="1:30" s="170" customFormat="1" ht="20.399999999999999">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149"/>
        <v/>
      </c>
      <c r="T1894" s="155" t="str">
        <f ca="1">IF(B1894="","",IF(ISERROR(MATCH($J1894,SorP!$B$1:$B$6226,0)),"",INDIRECT("'SorP'!$A$"&amp;MATCH($S1894&amp;$J1894,SorP!C:C,0))))</f>
        <v/>
      </c>
      <c r="U1894" s="168"/>
      <c r="V1894" s="169" t="e">
        <f>IF(C1894="",NA(),MATCH($B1894&amp;$C1894,'Smelter Look-up'!$J:$J,0))</f>
        <v>#N/A</v>
      </c>
      <c r="X1894" s="170">
        <f t="shared" ca="1" si="148"/>
        <v>0</v>
      </c>
      <c r="AB1894" s="313" t="str">
        <f t="shared" si="150"/>
        <v/>
      </c>
      <c r="AC1894" s="170" t="str">
        <f t="shared" si="151"/>
        <v/>
      </c>
      <c r="AD1894" s="170" t="str">
        <f t="shared" si="152"/>
        <v/>
      </c>
    </row>
    <row r="1895" spans="1:30" s="170" customFormat="1" ht="20.399999999999999">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149"/>
        <v/>
      </c>
      <c r="T1895" s="155" t="str">
        <f ca="1">IF(B1895="","",IF(ISERROR(MATCH($J1895,SorP!$B$1:$B$6226,0)),"",INDIRECT("'SorP'!$A$"&amp;MATCH($S1895&amp;$J1895,SorP!C:C,0))))</f>
        <v/>
      </c>
      <c r="U1895" s="168"/>
      <c r="V1895" s="169" t="e">
        <f>IF(C1895="",NA(),MATCH($B1895&amp;$C1895,'Smelter Look-up'!$J:$J,0))</f>
        <v>#N/A</v>
      </c>
      <c r="X1895" s="170">
        <f t="shared" ca="1" si="148"/>
        <v>0</v>
      </c>
      <c r="AB1895" s="313" t="str">
        <f t="shared" si="150"/>
        <v/>
      </c>
      <c r="AC1895" s="170" t="str">
        <f t="shared" si="151"/>
        <v/>
      </c>
      <c r="AD1895" s="170" t="str">
        <f t="shared" si="152"/>
        <v/>
      </c>
    </row>
    <row r="1896" spans="1:30" s="170" customFormat="1" ht="20.399999999999999">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149"/>
        <v/>
      </c>
      <c r="T1896" s="155" t="str">
        <f ca="1">IF(B1896="","",IF(ISERROR(MATCH($J1896,SorP!$B$1:$B$6226,0)),"",INDIRECT("'SorP'!$A$"&amp;MATCH($S1896&amp;$J1896,SorP!C:C,0))))</f>
        <v/>
      </c>
      <c r="U1896" s="168"/>
      <c r="V1896" s="169" t="e">
        <f>IF(C1896="",NA(),MATCH($B1896&amp;$C1896,'Smelter Look-up'!$J:$J,0))</f>
        <v>#N/A</v>
      </c>
      <c r="X1896" s="170">
        <f t="shared" ca="1" si="148"/>
        <v>0</v>
      </c>
      <c r="AB1896" s="313" t="str">
        <f t="shared" si="150"/>
        <v/>
      </c>
      <c r="AC1896" s="170" t="str">
        <f t="shared" si="151"/>
        <v/>
      </c>
      <c r="AD1896" s="170" t="str">
        <f t="shared" si="152"/>
        <v/>
      </c>
    </row>
    <row r="1897" spans="1:30" s="170" customFormat="1" ht="20.399999999999999">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149"/>
        <v/>
      </c>
      <c r="T1897" s="155" t="str">
        <f ca="1">IF(B1897="","",IF(ISERROR(MATCH($J1897,SorP!$B$1:$B$6226,0)),"",INDIRECT("'SorP'!$A$"&amp;MATCH($S1897&amp;$J1897,SorP!C:C,0))))</f>
        <v/>
      </c>
      <c r="U1897" s="168"/>
      <c r="V1897" s="169" t="e">
        <f>IF(C1897="",NA(),MATCH($B1897&amp;$C1897,'Smelter Look-up'!$J:$J,0))</f>
        <v>#N/A</v>
      </c>
      <c r="X1897" s="170">
        <f t="shared" ca="1" si="148"/>
        <v>0</v>
      </c>
      <c r="AB1897" s="313" t="str">
        <f t="shared" si="150"/>
        <v/>
      </c>
      <c r="AC1897" s="170" t="str">
        <f t="shared" si="151"/>
        <v/>
      </c>
      <c r="AD1897" s="170" t="str">
        <f t="shared" si="152"/>
        <v/>
      </c>
    </row>
    <row r="1898" spans="1:30" s="170" customFormat="1" ht="20.399999999999999">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149"/>
        <v/>
      </c>
      <c r="T1898" s="155" t="str">
        <f ca="1">IF(B1898="","",IF(ISERROR(MATCH($J1898,SorP!$B$1:$B$6226,0)),"",INDIRECT("'SorP'!$A$"&amp;MATCH($S1898&amp;$J1898,SorP!C:C,0))))</f>
        <v/>
      </c>
      <c r="U1898" s="168"/>
      <c r="V1898" s="169" t="e">
        <f>IF(C1898="",NA(),MATCH($B1898&amp;$C1898,'Smelter Look-up'!$J:$J,0))</f>
        <v>#N/A</v>
      </c>
      <c r="X1898" s="170">
        <f t="shared" ca="1" si="148"/>
        <v>0</v>
      </c>
      <c r="AB1898" s="313" t="str">
        <f t="shared" si="150"/>
        <v/>
      </c>
      <c r="AC1898" s="170" t="str">
        <f t="shared" si="151"/>
        <v/>
      </c>
      <c r="AD1898" s="170" t="str">
        <f t="shared" si="152"/>
        <v/>
      </c>
    </row>
    <row r="1899" spans="1:30" s="170" customFormat="1" ht="20.399999999999999">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149"/>
        <v/>
      </c>
      <c r="T1899" s="155" t="str">
        <f ca="1">IF(B1899="","",IF(ISERROR(MATCH($J1899,SorP!$B$1:$B$6226,0)),"",INDIRECT("'SorP'!$A$"&amp;MATCH($S1899&amp;$J1899,SorP!C:C,0))))</f>
        <v/>
      </c>
      <c r="U1899" s="168"/>
      <c r="V1899" s="169" t="e">
        <f>IF(C1899="",NA(),MATCH($B1899&amp;$C1899,'Smelter Look-up'!$J:$J,0))</f>
        <v>#N/A</v>
      </c>
      <c r="X1899" s="170">
        <f t="shared" ca="1" si="148"/>
        <v>0</v>
      </c>
      <c r="AB1899" s="313" t="str">
        <f t="shared" si="150"/>
        <v/>
      </c>
      <c r="AC1899" s="170" t="str">
        <f t="shared" si="151"/>
        <v/>
      </c>
      <c r="AD1899" s="170" t="str">
        <f t="shared" si="152"/>
        <v/>
      </c>
    </row>
    <row r="1900" spans="1:30" s="170" customFormat="1" ht="20.399999999999999">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149"/>
        <v/>
      </c>
      <c r="T1900" s="155" t="str">
        <f ca="1">IF(B1900="","",IF(ISERROR(MATCH($J1900,SorP!$B$1:$B$6226,0)),"",INDIRECT("'SorP'!$A$"&amp;MATCH($S1900&amp;$J1900,SorP!C:C,0))))</f>
        <v/>
      </c>
      <c r="U1900" s="168"/>
      <c r="V1900" s="169" t="e">
        <f>IF(C1900="",NA(),MATCH($B1900&amp;$C1900,'Smelter Look-up'!$J:$J,0))</f>
        <v>#N/A</v>
      </c>
      <c r="X1900" s="170">
        <f t="shared" ca="1" si="148"/>
        <v>0</v>
      </c>
      <c r="AB1900" s="313" t="str">
        <f t="shared" si="150"/>
        <v/>
      </c>
      <c r="AC1900" s="170" t="str">
        <f t="shared" si="151"/>
        <v/>
      </c>
      <c r="AD1900" s="170" t="str">
        <f t="shared" si="152"/>
        <v/>
      </c>
    </row>
    <row r="1901" spans="1:30" s="170" customFormat="1" ht="20.399999999999999">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149"/>
        <v/>
      </c>
      <c r="T1901" s="155" t="str">
        <f ca="1">IF(B1901="","",IF(ISERROR(MATCH($J1901,SorP!$B$1:$B$6226,0)),"",INDIRECT("'SorP'!$A$"&amp;MATCH($S1901&amp;$J1901,SorP!C:C,0))))</f>
        <v/>
      </c>
      <c r="U1901" s="168"/>
      <c r="V1901" s="169" t="e">
        <f>IF(C1901="",NA(),MATCH($B1901&amp;$C1901,'Smelter Look-up'!$J:$J,0))</f>
        <v>#N/A</v>
      </c>
      <c r="X1901" s="170">
        <f t="shared" ca="1" si="148"/>
        <v>0</v>
      </c>
      <c r="AB1901" s="313" t="str">
        <f t="shared" si="150"/>
        <v/>
      </c>
      <c r="AC1901" s="170" t="str">
        <f t="shared" si="151"/>
        <v/>
      </c>
      <c r="AD1901" s="170" t="str">
        <f t="shared" si="152"/>
        <v/>
      </c>
    </row>
    <row r="1902" spans="1:30" s="170" customFormat="1" ht="20.399999999999999">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149"/>
        <v/>
      </c>
      <c r="T1902" s="155" t="str">
        <f ca="1">IF(B1902="","",IF(ISERROR(MATCH($J1902,SorP!$B$1:$B$6226,0)),"",INDIRECT("'SorP'!$A$"&amp;MATCH($S1902&amp;$J1902,SorP!C:C,0))))</f>
        <v/>
      </c>
      <c r="U1902" s="168"/>
      <c r="V1902" s="169" t="e">
        <f>IF(C1902="",NA(),MATCH($B1902&amp;$C1902,'Smelter Look-up'!$J:$J,0))</f>
        <v>#N/A</v>
      </c>
      <c r="X1902" s="170">
        <f t="shared" ca="1" si="148"/>
        <v>0</v>
      </c>
      <c r="AB1902" s="313" t="str">
        <f t="shared" si="150"/>
        <v/>
      </c>
      <c r="AC1902" s="170" t="str">
        <f t="shared" si="151"/>
        <v/>
      </c>
      <c r="AD1902" s="170" t="str">
        <f t="shared" si="152"/>
        <v/>
      </c>
    </row>
    <row r="1903" spans="1:30" s="170" customFormat="1" ht="20.399999999999999">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149"/>
        <v/>
      </c>
      <c r="T1903" s="155" t="str">
        <f ca="1">IF(B1903="","",IF(ISERROR(MATCH($J1903,SorP!$B$1:$B$6226,0)),"",INDIRECT("'SorP'!$A$"&amp;MATCH($S1903&amp;$J1903,SorP!C:C,0))))</f>
        <v/>
      </c>
      <c r="U1903" s="168"/>
      <c r="V1903" s="169" t="e">
        <f>IF(C1903="",NA(),MATCH($B1903&amp;$C1903,'Smelter Look-up'!$J:$J,0))</f>
        <v>#N/A</v>
      </c>
      <c r="X1903" s="170">
        <f t="shared" ca="1" si="148"/>
        <v>0</v>
      </c>
      <c r="AB1903" s="313" t="str">
        <f t="shared" si="150"/>
        <v/>
      </c>
      <c r="AC1903" s="170" t="str">
        <f t="shared" si="151"/>
        <v/>
      </c>
      <c r="AD1903" s="170" t="str">
        <f t="shared" si="152"/>
        <v/>
      </c>
    </row>
    <row r="1904" spans="1:30" s="170" customFormat="1" ht="20.399999999999999">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149"/>
        <v/>
      </c>
      <c r="T1904" s="155" t="str">
        <f ca="1">IF(B1904="","",IF(ISERROR(MATCH($J1904,SorP!$B$1:$B$6226,0)),"",INDIRECT("'SorP'!$A$"&amp;MATCH($S1904&amp;$J1904,SorP!C:C,0))))</f>
        <v/>
      </c>
      <c r="U1904" s="168"/>
      <c r="V1904" s="169" t="e">
        <f>IF(C1904="",NA(),MATCH($B1904&amp;$C1904,'Smelter Look-up'!$J:$J,0))</f>
        <v>#N/A</v>
      </c>
      <c r="X1904" s="170">
        <f t="shared" ca="1" si="148"/>
        <v>0</v>
      </c>
      <c r="AB1904" s="313" t="str">
        <f t="shared" si="150"/>
        <v/>
      </c>
      <c r="AC1904" s="170" t="str">
        <f t="shared" si="151"/>
        <v/>
      </c>
      <c r="AD1904" s="170" t="str">
        <f t="shared" si="152"/>
        <v/>
      </c>
    </row>
    <row r="1905" spans="1:30" s="170" customFormat="1" ht="20.399999999999999">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149"/>
        <v/>
      </c>
      <c r="T1905" s="155" t="str">
        <f ca="1">IF(B1905="","",IF(ISERROR(MATCH($J1905,SorP!$B$1:$B$6226,0)),"",INDIRECT("'SorP'!$A$"&amp;MATCH($S1905&amp;$J1905,SorP!C:C,0))))</f>
        <v/>
      </c>
      <c r="U1905" s="168"/>
      <c r="V1905" s="169" t="e">
        <f>IF(C1905="",NA(),MATCH($B1905&amp;$C1905,'Smelter Look-up'!$J:$J,0))</f>
        <v>#N/A</v>
      </c>
      <c r="X1905" s="170">
        <f t="shared" ca="1" si="148"/>
        <v>0</v>
      </c>
      <c r="AB1905" s="313" t="str">
        <f t="shared" si="150"/>
        <v/>
      </c>
      <c r="AC1905" s="170" t="str">
        <f t="shared" si="151"/>
        <v/>
      </c>
      <c r="AD1905" s="170" t="str">
        <f t="shared" si="152"/>
        <v/>
      </c>
    </row>
    <row r="1906" spans="1:30" s="170" customFormat="1" ht="20.399999999999999">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149"/>
        <v/>
      </c>
      <c r="T1906" s="155" t="str">
        <f ca="1">IF(B1906="","",IF(ISERROR(MATCH($J1906,SorP!$B$1:$B$6226,0)),"",INDIRECT("'SorP'!$A$"&amp;MATCH($S1906&amp;$J1906,SorP!C:C,0))))</f>
        <v/>
      </c>
      <c r="U1906" s="168"/>
      <c r="V1906" s="169" t="e">
        <f>IF(C1906="",NA(),MATCH($B1906&amp;$C1906,'Smelter Look-up'!$J:$J,0))</f>
        <v>#N/A</v>
      </c>
      <c r="X1906" s="170">
        <f t="shared" ca="1" si="148"/>
        <v>0</v>
      </c>
      <c r="AB1906" s="313" t="str">
        <f t="shared" si="150"/>
        <v/>
      </c>
      <c r="AC1906" s="170" t="str">
        <f t="shared" si="151"/>
        <v/>
      </c>
      <c r="AD1906" s="170" t="str">
        <f t="shared" si="152"/>
        <v/>
      </c>
    </row>
    <row r="1907" spans="1:30" s="170" customFormat="1" ht="20.399999999999999">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149"/>
        <v/>
      </c>
      <c r="T1907" s="155" t="str">
        <f ca="1">IF(B1907="","",IF(ISERROR(MATCH($J1907,SorP!$B$1:$B$6226,0)),"",INDIRECT("'SorP'!$A$"&amp;MATCH($S1907&amp;$J1907,SorP!C:C,0))))</f>
        <v/>
      </c>
      <c r="U1907" s="168"/>
      <c r="V1907" s="169" t="e">
        <f>IF(C1907="",NA(),MATCH($B1907&amp;$C1907,'Smelter Look-up'!$J:$J,0))</f>
        <v>#N/A</v>
      </c>
      <c r="X1907" s="170">
        <f t="shared" ca="1" si="148"/>
        <v>0</v>
      </c>
      <c r="AB1907" s="313" t="str">
        <f t="shared" si="150"/>
        <v/>
      </c>
      <c r="AC1907" s="170" t="str">
        <f t="shared" si="151"/>
        <v/>
      </c>
      <c r="AD1907" s="170" t="str">
        <f t="shared" si="152"/>
        <v/>
      </c>
    </row>
    <row r="1908" spans="1:30" s="170" customFormat="1" ht="20.399999999999999">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149"/>
        <v/>
      </c>
      <c r="T1908" s="155" t="str">
        <f ca="1">IF(B1908="","",IF(ISERROR(MATCH($J1908,SorP!$B$1:$B$6226,0)),"",INDIRECT("'SorP'!$A$"&amp;MATCH($S1908&amp;$J1908,SorP!C:C,0))))</f>
        <v/>
      </c>
      <c r="U1908" s="168"/>
      <c r="V1908" s="169" t="e">
        <f>IF(C1908="",NA(),MATCH($B1908&amp;$C1908,'Smelter Look-up'!$J:$J,0))</f>
        <v>#N/A</v>
      </c>
      <c r="X1908" s="170">
        <f t="shared" ca="1" si="148"/>
        <v>0</v>
      </c>
      <c r="AB1908" s="313" t="str">
        <f t="shared" si="150"/>
        <v/>
      </c>
      <c r="AC1908" s="170" t="str">
        <f t="shared" si="151"/>
        <v/>
      </c>
      <c r="AD1908" s="170" t="str">
        <f t="shared" si="152"/>
        <v/>
      </c>
    </row>
    <row r="1909" spans="1:30" s="170" customFormat="1" ht="20.399999999999999">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149"/>
        <v/>
      </c>
      <c r="T1909" s="155" t="str">
        <f ca="1">IF(B1909="","",IF(ISERROR(MATCH($J1909,SorP!$B$1:$B$6226,0)),"",INDIRECT("'SorP'!$A$"&amp;MATCH($S1909&amp;$J1909,SorP!C:C,0))))</f>
        <v/>
      </c>
      <c r="U1909" s="168"/>
      <c r="V1909" s="169" t="e">
        <f>IF(C1909="",NA(),MATCH($B1909&amp;$C1909,'Smelter Look-up'!$J:$J,0))</f>
        <v>#N/A</v>
      </c>
      <c r="X1909" s="170">
        <f t="shared" ca="1" si="148"/>
        <v>0</v>
      </c>
      <c r="AB1909" s="313" t="str">
        <f t="shared" si="150"/>
        <v/>
      </c>
      <c r="AC1909" s="170" t="str">
        <f t="shared" si="151"/>
        <v/>
      </c>
      <c r="AD1909" s="170" t="str">
        <f t="shared" si="152"/>
        <v/>
      </c>
    </row>
    <row r="1910" spans="1:30" s="170" customFormat="1" ht="20.399999999999999">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149"/>
        <v/>
      </c>
      <c r="T1910" s="155" t="str">
        <f ca="1">IF(B1910="","",IF(ISERROR(MATCH($J1910,SorP!$B$1:$B$6226,0)),"",INDIRECT("'SorP'!$A$"&amp;MATCH($S1910&amp;$J1910,SorP!C:C,0))))</f>
        <v/>
      </c>
      <c r="U1910" s="168"/>
      <c r="V1910" s="169" t="e">
        <f>IF(C1910="",NA(),MATCH($B1910&amp;$C1910,'Smelter Look-up'!$J:$J,0))</f>
        <v>#N/A</v>
      </c>
      <c r="X1910" s="170">
        <f t="shared" ca="1" si="148"/>
        <v>0</v>
      </c>
      <c r="AB1910" s="313" t="str">
        <f t="shared" si="150"/>
        <v/>
      </c>
      <c r="AC1910" s="170" t="str">
        <f t="shared" si="151"/>
        <v/>
      </c>
      <c r="AD1910" s="170" t="str">
        <f t="shared" si="152"/>
        <v/>
      </c>
    </row>
    <row r="1911" spans="1:30" s="170" customFormat="1" ht="20.399999999999999">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149"/>
        <v/>
      </c>
      <c r="T1911" s="155" t="str">
        <f ca="1">IF(B1911="","",IF(ISERROR(MATCH($J1911,SorP!$B$1:$B$6226,0)),"",INDIRECT("'SorP'!$A$"&amp;MATCH($S1911&amp;$J1911,SorP!C:C,0))))</f>
        <v/>
      </c>
      <c r="U1911" s="168"/>
      <c r="V1911" s="169" t="e">
        <f>IF(C1911="",NA(),MATCH($B1911&amp;$C1911,'Smelter Look-up'!$J:$J,0))</f>
        <v>#N/A</v>
      </c>
      <c r="X1911" s="170">
        <f t="shared" ca="1" si="148"/>
        <v>0</v>
      </c>
      <c r="AB1911" s="313" t="str">
        <f t="shared" si="150"/>
        <v/>
      </c>
      <c r="AC1911" s="170" t="str">
        <f t="shared" si="151"/>
        <v/>
      </c>
      <c r="AD1911" s="170" t="str">
        <f t="shared" si="152"/>
        <v/>
      </c>
    </row>
    <row r="1912" spans="1:30" s="170" customFormat="1" ht="20.399999999999999">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149"/>
        <v/>
      </c>
      <c r="T1912" s="155" t="str">
        <f ca="1">IF(B1912="","",IF(ISERROR(MATCH($J1912,SorP!$B$1:$B$6226,0)),"",INDIRECT("'SorP'!$A$"&amp;MATCH($S1912&amp;$J1912,SorP!C:C,0))))</f>
        <v/>
      </c>
      <c r="U1912" s="168"/>
      <c r="V1912" s="169" t="e">
        <f>IF(C1912="",NA(),MATCH($B1912&amp;$C1912,'Smelter Look-up'!$J:$J,0))</f>
        <v>#N/A</v>
      </c>
      <c r="X1912" s="170">
        <f t="shared" ca="1" si="148"/>
        <v>0</v>
      </c>
      <c r="AB1912" s="313" t="str">
        <f t="shared" si="150"/>
        <v/>
      </c>
      <c r="AC1912" s="170" t="str">
        <f t="shared" si="151"/>
        <v/>
      </c>
      <c r="AD1912" s="170" t="str">
        <f t="shared" si="152"/>
        <v/>
      </c>
    </row>
    <row r="1913" spans="1:30" s="170" customFormat="1" ht="20.399999999999999">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149"/>
        <v/>
      </c>
      <c r="T1913" s="155" t="str">
        <f ca="1">IF(B1913="","",IF(ISERROR(MATCH($J1913,SorP!$B$1:$B$6226,0)),"",INDIRECT("'SorP'!$A$"&amp;MATCH($S1913&amp;$J1913,SorP!C:C,0))))</f>
        <v/>
      </c>
      <c r="U1913" s="168"/>
      <c r="V1913" s="169" t="e">
        <f>IF(C1913="",NA(),MATCH($B1913&amp;$C1913,'Smelter Look-up'!$J:$J,0))</f>
        <v>#N/A</v>
      </c>
      <c r="X1913" s="170">
        <f t="shared" ca="1" si="148"/>
        <v>0</v>
      </c>
      <c r="AB1913" s="313" t="str">
        <f t="shared" si="150"/>
        <v/>
      </c>
      <c r="AC1913" s="170" t="str">
        <f t="shared" si="151"/>
        <v/>
      </c>
      <c r="AD1913" s="170" t="str">
        <f t="shared" si="152"/>
        <v/>
      </c>
    </row>
    <row r="1914" spans="1:30" s="170" customFormat="1" ht="20.399999999999999">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149"/>
        <v/>
      </c>
      <c r="T1914" s="155" t="str">
        <f ca="1">IF(B1914="","",IF(ISERROR(MATCH($J1914,SorP!$B$1:$B$6226,0)),"",INDIRECT("'SorP'!$A$"&amp;MATCH($S1914&amp;$J1914,SorP!C:C,0))))</f>
        <v/>
      </c>
      <c r="U1914" s="168"/>
      <c r="V1914" s="169" t="e">
        <f>IF(C1914="",NA(),MATCH($B1914&amp;$C1914,'Smelter Look-up'!$J:$J,0))</f>
        <v>#N/A</v>
      </c>
      <c r="X1914" s="170">
        <f t="shared" ca="1" si="148"/>
        <v>0</v>
      </c>
      <c r="AB1914" s="313" t="str">
        <f t="shared" si="150"/>
        <v/>
      </c>
      <c r="AC1914" s="170" t="str">
        <f t="shared" si="151"/>
        <v/>
      </c>
      <c r="AD1914" s="170" t="str">
        <f t="shared" si="152"/>
        <v/>
      </c>
    </row>
    <row r="1915" spans="1:30" s="170" customFormat="1" ht="20.399999999999999">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149"/>
        <v/>
      </c>
      <c r="T1915" s="155" t="str">
        <f ca="1">IF(B1915="","",IF(ISERROR(MATCH($J1915,SorP!$B$1:$B$6226,0)),"",INDIRECT("'SorP'!$A$"&amp;MATCH($S1915&amp;$J1915,SorP!C:C,0))))</f>
        <v/>
      </c>
      <c r="U1915" s="168"/>
      <c r="V1915" s="169" t="e">
        <f>IF(C1915="",NA(),MATCH($B1915&amp;$C1915,'Smelter Look-up'!$J:$J,0))</f>
        <v>#N/A</v>
      </c>
      <c r="X1915" s="170">
        <f t="shared" ca="1" si="148"/>
        <v>0</v>
      </c>
      <c r="AB1915" s="313" t="str">
        <f t="shared" si="150"/>
        <v/>
      </c>
      <c r="AC1915" s="170" t="str">
        <f t="shared" si="151"/>
        <v/>
      </c>
      <c r="AD1915" s="170" t="str">
        <f t="shared" si="152"/>
        <v/>
      </c>
    </row>
    <row r="1916" spans="1:30" s="170" customFormat="1" ht="20.399999999999999">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149"/>
        <v/>
      </c>
      <c r="T1916" s="155" t="str">
        <f ca="1">IF(B1916="","",IF(ISERROR(MATCH($J1916,SorP!$B$1:$B$6226,0)),"",INDIRECT("'SorP'!$A$"&amp;MATCH($S1916&amp;$J1916,SorP!C:C,0))))</f>
        <v/>
      </c>
      <c r="U1916" s="168"/>
      <c r="V1916" s="169" t="e">
        <f>IF(C1916="",NA(),MATCH($B1916&amp;$C1916,'Smelter Look-up'!$J:$J,0))</f>
        <v>#N/A</v>
      </c>
      <c r="X1916" s="170">
        <f t="shared" ca="1" si="148"/>
        <v>0</v>
      </c>
      <c r="AB1916" s="313" t="str">
        <f t="shared" si="150"/>
        <v/>
      </c>
      <c r="AC1916" s="170" t="str">
        <f t="shared" si="151"/>
        <v/>
      </c>
      <c r="AD1916" s="170" t="str">
        <f t="shared" si="152"/>
        <v/>
      </c>
    </row>
    <row r="1917" spans="1:30" s="170" customFormat="1" ht="20.399999999999999">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149"/>
        <v/>
      </c>
      <c r="T1917" s="155" t="str">
        <f ca="1">IF(B1917="","",IF(ISERROR(MATCH($J1917,SorP!$B$1:$B$6226,0)),"",INDIRECT("'SorP'!$A$"&amp;MATCH($S1917&amp;$J1917,SorP!C:C,0))))</f>
        <v/>
      </c>
      <c r="U1917" s="168"/>
      <c r="V1917" s="169" t="e">
        <f>IF(C1917="",NA(),MATCH($B1917&amp;$C1917,'Smelter Look-up'!$J:$J,0))</f>
        <v>#N/A</v>
      </c>
      <c r="X1917" s="170">
        <f t="shared" ca="1" si="148"/>
        <v>0</v>
      </c>
      <c r="AB1917" s="313" t="str">
        <f t="shared" si="150"/>
        <v/>
      </c>
      <c r="AC1917" s="170" t="str">
        <f t="shared" si="151"/>
        <v/>
      </c>
      <c r="AD1917" s="170" t="str">
        <f t="shared" si="152"/>
        <v/>
      </c>
    </row>
    <row r="1918" spans="1:30" s="170" customFormat="1" ht="20.399999999999999">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149"/>
        <v/>
      </c>
      <c r="T1918" s="155" t="str">
        <f ca="1">IF(B1918="","",IF(ISERROR(MATCH($J1918,SorP!$B$1:$B$6226,0)),"",INDIRECT("'SorP'!$A$"&amp;MATCH($S1918&amp;$J1918,SorP!C:C,0))))</f>
        <v/>
      </c>
      <c r="U1918" s="168"/>
      <c r="V1918" s="169" t="e">
        <f>IF(C1918="",NA(),MATCH($B1918&amp;$C1918,'Smelter Look-up'!$J:$J,0))</f>
        <v>#N/A</v>
      </c>
      <c r="X1918" s="170">
        <f t="shared" ca="1" si="148"/>
        <v>0</v>
      </c>
      <c r="AB1918" s="313" t="str">
        <f t="shared" si="150"/>
        <v/>
      </c>
      <c r="AC1918" s="170" t="str">
        <f t="shared" si="151"/>
        <v/>
      </c>
      <c r="AD1918" s="170" t="str">
        <f t="shared" si="152"/>
        <v/>
      </c>
    </row>
    <row r="1919" spans="1:30" s="170" customFormat="1" ht="20.399999999999999">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149"/>
        <v/>
      </c>
      <c r="T1919" s="155" t="str">
        <f ca="1">IF(B1919="","",IF(ISERROR(MATCH($J1919,SorP!$B$1:$B$6226,0)),"",INDIRECT("'SorP'!$A$"&amp;MATCH($S1919&amp;$J1919,SorP!C:C,0))))</f>
        <v/>
      </c>
      <c r="U1919" s="168"/>
      <c r="V1919" s="169" t="e">
        <f>IF(C1919="",NA(),MATCH($B1919&amp;$C1919,'Smelter Look-up'!$J:$J,0))</f>
        <v>#N/A</v>
      </c>
      <c r="X1919" s="170">
        <f t="shared" ref="X1919:X1982" ca="1" si="153">IF(AND(C1919="Smelter not listed",OR(LEN(D1919)=0,LEN(E1919)=0)),1,0)</f>
        <v>0</v>
      </c>
      <c r="AB1919" s="313" t="str">
        <f t="shared" si="150"/>
        <v/>
      </c>
      <c r="AC1919" s="170" t="str">
        <f t="shared" si="151"/>
        <v/>
      </c>
      <c r="AD1919" s="170" t="str">
        <f t="shared" si="152"/>
        <v/>
      </c>
    </row>
    <row r="1920" spans="1:30" s="170" customFormat="1" ht="20.399999999999999">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ref="S1920:S1983" ca="1" si="15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153"/>
        <v>0</v>
      </c>
      <c r="AB1920" s="313" t="str">
        <f t="shared" si="150"/>
        <v/>
      </c>
      <c r="AC1920" s="170" t="str">
        <f t="shared" si="151"/>
        <v/>
      </c>
      <c r="AD1920" s="170" t="str">
        <f t="shared" si="152"/>
        <v/>
      </c>
    </row>
    <row r="1921" spans="1:30" s="170" customFormat="1" ht="20.399999999999999">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154"/>
        <v/>
      </c>
      <c r="T1921" s="155" t="str">
        <f ca="1">IF(B1921="","",IF(ISERROR(MATCH($J1921,SorP!$B$1:$B$6226,0)),"",INDIRECT("'SorP'!$A$"&amp;MATCH($S1921&amp;$J1921,SorP!C:C,0))))</f>
        <v/>
      </c>
      <c r="U1921" s="168"/>
      <c r="V1921" s="169" t="e">
        <f>IF(C1921="",NA(),MATCH($B1921&amp;$C1921,'Smelter Look-up'!$J:$J,0))</f>
        <v>#N/A</v>
      </c>
      <c r="X1921" s="170">
        <f t="shared" ca="1" si="153"/>
        <v>0</v>
      </c>
      <c r="AB1921" s="313" t="str">
        <f t="shared" si="150"/>
        <v/>
      </c>
      <c r="AC1921" s="170" t="str">
        <f t="shared" si="151"/>
        <v/>
      </c>
      <c r="AD1921" s="170" t="str">
        <f t="shared" si="152"/>
        <v/>
      </c>
    </row>
    <row r="1922" spans="1:30" s="170" customFormat="1" ht="20.399999999999999">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154"/>
        <v/>
      </c>
      <c r="T1922" s="155" t="str">
        <f ca="1">IF(B1922="","",IF(ISERROR(MATCH($J1922,SorP!$B$1:$B$6226,0)),"",INDIRECT("'SorP'!$A$"&amp;MATCH($S1922&amp;$J1922,SorP!C:C,0))))</f>
        <v/>
      </c>
      <c r="U1922" s="168"/>
      <c r="V1922" s="169" t="e">
        <f>IF(C1922="",NA(),MATCH($B1922&amp;$C1922,'Smelter Look-up'!$J:$J,0))</f>
        <v>#N/A</v>
      </c>
      <c r="X1922" s="170">
        <f t="shared" ca="1" si="153"/>
        <v>0</v>
      </c>
      <c r="AB1922" s="313" t="str">
        <f t="shared" si="150"/>
        <v/>
      </c>
      <c r="AC1922" s="170" t="str">
        <f t="shared" si="151"/>
        <v/>
      </c>
      <c r="AD1922" s="170" t="str">
        <f t="shared" si="152"/>
        <v/>
      </c>
    </row>
    <row r="1923" spans="1:30" s="170" customFormat="1" ht="20.399999999999999">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154"/>
        <v/>
      </c>
      <c r="T1923" s="155" t="str">
        <f ca="1">IF(B1923="","",IF(ISERROR(MATCH($J1923,SorP!$B$1:$B$6226,0)),"",INDIRECT("'SorP'!$A$"&amp;MATCH($S1923&amp;$J1923,SorP!C:C,0))))</f>
        <v/>
      </c>
      <c r="U1923" s="168"/>
      <c r="V1923" s="169" t="e">
        <f>IF(C1923="",NA(),MATCH($B1923&amp;$C1923,'Smelter Look-up'!$J:$J,0))</f>
        <v>#N/A</v>
      </c>
      <c r="X1923" s="170">
        <f t="shared" ca="1" si="153"/>
        <v>0</v>
      </c>
      <c r="AB1923" s="313" t="str">
        <f t="shared" si="150"/>
        <v/>
      </c>
      <c r="AC1923" s="170" t="str">
        <f t="shared" si="151"/>
        <v/>
      </c>
      <c r="AD1923" s="170" t="str">
        <f t="shared" si="152"/>
        <v/>
      </c>
    </row>
    <row r="1924" spans="1:30" s="170" customFormat="1" ht="20.399999999999999">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154"/>
        <v/>
      </c>
      <c r="T1924" s="155" t="str">
        <f ca="1">IF(B1924="","",IF(ISERROR(MATCH($J1924,SorP!$B$1:$B$6226,0)),"",INDIRECT("'SorP'!$A$"&amp;MATCH($S1924&amp;$J1924,SorP!C:C,0))))</f>
        <v/>
      </c>
      <c r="U1924" s="168"/>
      <c r="V1924" s="169" t="e">
        <f>IF(C1924="",NA(),MATCH($B1924&amp;$C1924,'Smelter Look-up'!$J:$J,0))</f>
        <v>#N/A</v>
      </c>
      <c r="X1924" s="170">
        <f t="shared" ca="1" si="153"/>
        <v>0</v>
      </c>
      <c r="AB1924" s="313" t="str">
        <f t="shared" si="150"/>
        <v/>
      </c>
      <c r="AC1924" s="170" t="str">
        <f t="shared" si="151"/>
        <v/>
      </c>
      <c r="AD1924" s="170" t="str">
        <f t="shared" si="152"/>
        <v/>
      </c>
    </row>
    <row r="1925" spans="1:30" s="170" customFormat="1" ht="20.399999999999999">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154"/>
        <v/>
      </c>
      <c r="T1925" s="155" t="str">
        <f ca="1">IF(B1925="","",IF(ISERROR(MATCH($J1925,SorP!$B$1:$B$6226,0)),"",INDIRECT("'SorP'!$A$"&amp;MATCH($S1925&amp;$J1925,SorP!C:C,0))))</f>
        <v/>
      </c>
      <c r="U1925" s="168"/>
      <c r="V1925" s="169" t="e">
        <f>IF(C1925="",NA(),MATCH($B1925&amp;$C1925,'Smelter Look-up'!$J:$J,0))</f>
        <v>#N/A</v>
      </c>
      <c r="X1925" s="170">
        <f t="shared" ca="1" si="153"/>
        <v>0</v>
      </c>
      <c r="AB1925" s="313" t="str">
        <f t="shared" si="150"/>
        <v/>
      </c>
      <c r="AC1925" s="170" t="str">
        <f t="shared" si="151"/>
        <v/>
      </c>
      <c r="AD1925" s="170" t="str">
        <f t="shared" si="152"/>
        <v/>
      </c>
    </row>
    <row r="1926" spans="1:30" s="170" customFormat="1" ht="20.399999999999999">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154"/>
        <v/>
      </c>
      <c r="T1926" s="155" t="str">
        <f ca="1">IF(B1926="","",IF(ISERROR(MATCH($J1926,SorP!$B$1:$B$6226,0)),"",INDIRECT("'SorP'!$A$"&amp;MATCH($S1926&amp;$J1926,SorP!C:C,0))))</f>
        <v/>
      </c>
      <c r="U1926" s="168"/>
      <c r="V1926" s="169" t="e">
        <f>IF(C1926="",NA(),MATCH($B1926&amp;$C1926,'Smelter Look-up'!$J:$J,0))</f>
        <v>#N/A</v>
      </c>
      <c r="X1926" s="170">
        <f t="shared" ca="1" si="153"/>
        <v>0</v>
      </c>
      <c r="AB1926" s="313" t="str">
        <f t="shared" ref="AB1926:AB1989" si="155">IF(C1926="","",B1926)</f>
        <v/>
      </c>
      <c r="AC1926" s="170" t="str">
        <f t="shared" ref="AC1926:AC1989" si="156">B1926</f>
        <v/>
      </c>
      <c r="AD1926" s="170" t="str">
        <f t="shared" ref="AD1926:AD1989" si="157">IF(C1926="Smelter not listed",D1926,C1926)</f>
        <v/>
      </c>
    </row>
    <row r="1927" spans="1:30" s="170" customFormat="1" ht="20.399999999999999">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154"/>
        <v/>
      </c>
      <c r="T1927" s="155" t="str">
        <f ca="1">IF(B1927="","",IF(ISERROR(MATCH($J1927,SorP!$B$1:$B$6226,0)),"",INDIRECT("'SorP'!$A$"&amp;MATCH($S1927&amp;$J1927,SorP!C:C,0))))</f>
        <v/>
      </c>
      <c r="U1927" s="168"/>
      <c r="V1927" s="169" t="e">
        <f>IF(C1927="",NA(),MATCH($B1927&amp;$C1927,'Smelter Look-up'!$J:$J,0))</f>
        <v>#N/A</v>
      </c>
      <c r="X1927" s="170">
        <f t="shared" ca="1" si="153"/>
        <v>0</v>
      </c>
      <c r="AB1927" s="313" t="str">
        <f t="shared" si="155"/>
        <v/>
      </c>
      <c r="AC1927" s="170" t="str">
        <f t="shared" si="156"/>
        <v/>
      </c>
      <c r="AD1927" s="170" t="str">
        <f t="shared" si="157"/>
        <v/>
      </c>
    </row>
    <row r="1928" spans="1:30" s="170" customFormat="1" ht="20.399999999999999">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154"/>
        <v/>
      </c>
      <c r="T1928" s="155" t="str">
        <f ca="1">IF(B1928="","",IF(ISERROR(MATCH($J1928,SorP!$B$1:$B$6226,0)),"",INDIRECT("'SorP'!$A$"&amp;MATCH($S1928&amp;$J1928,SorP!C:C,0))))</f>
        <v/>
      </c>
      <c r="U1928" s="168"/>
      <c r="V1928" s="169" t="e">
        <f>IF(C1928="",NA(),MATCH($B1928&amp;$C1928,'Smelter Look-up'!$J:$J,0))</f>
        <v>#N/A</v>
      </c>
      <c r="X1928" s="170">
        <f t="shared" ca="1" si="153"/>
        <v>0</v>
      </c>
      <c r="AB1928" s="313" t="str">
        <f t="shared" si="155"/>
        <v/>
      </c>
      <c r="AC1928" s="170" t="str">
        <f t="shared" si="156"/>
        <v/>
      </c>
      <c r="AD1928" s="170" t="str">
        <f t="shared" si="157"/>
        <v/>
      </c>
    </row>
    <row r="1929" spans="1:30" s="170" customFormat="1" ht="20.399999999999999">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154"/>
        <v/>
      </c>
      <c r="T1929" s="155" t="str">
        <f ca="1">IF(B1929="","",IF(ISERROR(MATCH($J1929,SorP!$B$1:$B$6226,0)),"",INDIRECT("'SorP'!$A$"&amp;MATCH($S1929&amp;$J1929,SorP!C:C,0))))</f>
        <v/>
      </c>
      <c r="U1929" s="168"/>
      <c r="V1929" s="169" t="e">
        <f>IF(C1929="",NA(),MATCH($B1929&amp;$C1929,'Smelter Look-up'!$J:$J,0))</f>
        <v>#N/A</v>
      </c>
      <c r="X1929" s="170">
        <f t="shared" ca="1" si="153"/>
        <v>0</v>
      </c>
      <c r="AB1929" s="313" t="str">
        <f t="shared" si="155"/>
        <v/>
      </c>
      <c r="AC1929" s="170" t="str">
        <f t="shared" si="156"/>
        <v/>
      </c>
      <c r="AD1929" s="170" t="str">
        <f t="shared" si="157"/>
        <v/>
      </c>
    </row>
    <row r="1930" spans="1:30" s="170" customFormat="1" ht="20.399999999999999">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154"/>
        <v/>
      </c>
      <c r="T1930" s="155" t="str">
        <f ca="1">IF(B1930="","",IF(ISERROR(MATCH($J1930,SorP!$B$1:$B$6226,0)),"",INDIRECT("'SorP'!$A$"&amp;MATCH($S1930&amp;$J1930,SorP!C:C,0))))</f>
        <v/>
      </c>
      <c r="U1930" s="168"/>
      <c r="V1930" s="169" t="e">
        <f>IF(C1930="",NA(),MATCH($B1930&amp;$C1930,'Smelter Look-up'!$J:$J,0))</f>
        <v>#N/A</v>
      </c>
      <c r="X1930" s="170">
        <f t="shared" ca="1" si="153"/>
        <v>0</v>
      </c>
      <c r="AB1930" s="313" t="str">
        <f t="shared" si="155"/>
        <v/>
      </c>
      <c r="AC1930" s="170" t="str">
        <f t="shared" si="156"/>
        <v/>
      </c>
      <c r="AD1930" s="170" t="str">
        <f t="shared" si="157"/>
        <v/>
      </c>
    </row>
    <row r="1931" spans="1:30" s="170" customFormat="1" ht="20.399999999999999">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154"/>
        <v/>
      </c>
      <c r="T1931" s="155" t="str">
        <f ca="1">IF(B1931="","",IF(ISERROR(MATCH($J1931,SorP!$B$1:$B$6226,0)),"",INDIRECT("'SorP'!$A$"&amp;MATCH($S1931&amp;$J1931,SorP!C:C,0))))</f>
        <v/>
      </c>
      <c r="U1931" s="168"/>
      <c r="V1931" s="169" t="e">
        <f>IF(C1931="",NA(),MATCH($B1931&amp;$C1931,'Smelter Look-up'!$J:$J,0))</f>
        <v>#N/A</v>
      </c>
      <c r="X1931" s="170">
        <f t="shared" ca="1" si="153"/>
        <v>0</v>
      </c>
      <c r="AB1931" s="313" t="str">
        <f t="shared" si="155"/>
        <v/>
      </c>
      <c r="AC1931" s="170" t="str">
        <f t="shared" si="156"/>
        <v/>
      </c>
      <c r="AD1931" s="170" t="str">
        <f t="shared" si="157"/>
        <v/>
      </c>
    </row>
    <row r="1932" spans="1:30" s="170" customFormat="1" ht="20.399999999999999">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154"/>
        <v/>
      </c>
      <c r="T1932" s="155" t="str">
        <f ca="1">IF(B1932="","",IF(ISERROR(MATCH($J1932,SorP!$B$1:$B$6226,0)),"",INDIRECT("'SorP'!$A$"&amp;MATCH($S1932&amp;$J1932,SorP!C:C,0))))</f>
        <v/>
      </c>
      <c r="U1932" s="168"/>
      <c r="V1932" s="169" t="e">
        <f>IF(C1932="",NA(),MATCH($B1932&amp;$C1932,'Smelter Look-up'!$J:$J,0))</f>
        <v>#N/A</v>
      </c>
      <c r="X1932" s="170">
        <f t="shared" ca="1" si="153"/>
        <v>0</v>
      </c>
      <c r="AB1932" s="313" t="str">
        <f t="shared" si="155"/>
        <v/>
      </c>
      <c r="AC1932" s="170" t="str">
        <f t="shared" si="156"/>
        <v/>
      </c>
      <c r="AD1932" s="170" t="str">
        <f t="shared" si="157"/>
        <v/>
      </c>
    </row>
    <row r="1933" spans="1:30" s="170" customFormat="1" ht="20.399999999999999">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154"/>
        <v/>
      </c>
      <c r="T1933" s="155" t="str">
        <f ca="1">IF(B1933="","",IF(ISERROR(MATCH($J1933,SorP!$B$1:$B$6226,0)),"",INDIRECT("'SorP'!$A$"&amp;MATCH($S1933&amp;$J1933,SorP!C:C,0))))</f>
        <v/>
      </c>
      <c r="U1933" s="168"/>
      <c r="V1933" s="169" t="e">
        <f>IF(C1933="",NA(),MATCH($B1933&amp;$C1933,'Smelter Look-up'!$J:$J,0))</f>
        <v>#N/A</v>
      </c>
      <c r="X1933" s="170">
        <f t="shared" ca="1" si="153"/>
        <v>0</v>
      </c>
      <c r="AB1933" s="313" t="str">
        <f t="shared" si="155"/>
        <v/>
      </c>
      <c r="AC1933" s="170" t="str">
        <f t="shared" si="156"/>
        <v/>
      </c>
      <c r="AD1933" s="170" t="str">
        <f t="shared" si="157"/>
        <v/>
      </c>
    </row>
    <row r="1934" spans="1:30" s="170" customFormat="1" ht="20.399999999999999">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154"/>
        <v/>
      </c>
      <c r="T1934" s="155" t="str">
        <f ca="1">IF(B1934="","",IF(ISERROR(MATCH($J1934,SorP!$B$1:$B$6226,0)),"",INDIRECT("'SorP'!$A$"&amp;MATCH($S1934&amp;$J1934,SorP!C:C,0))))</f>
        <v/>
      </c>
      <c r="U1934" s="168"/>
      <c r="V1934" s="169" t="e">
        <f>IF(C1934="",NA(),MATCH($B1934&amp;$C1934,'Smelter Look-up'!$J:$J,0))</f>
        <v>#N/A</v>
      </c>
      <c r="X1934" s="170">
        <f t="shared" ca="1" si="153"/>
        <v>0</v>
      </c>
      <c r="AB1934" s="313" t="str">
        <f t="shared" si="155"/>
        <v/>
      </c>
      <c r="AC1934" s="170" t="str">
        <f t="shared" si="156"/>
        <v/>
      </c>
      <c r="AD1934" s="170" t="str">
        <f t="shared" si="157"/>
        <v/>
      </c>
    </row>
    <row r="1935" spans="1:30" s="170" customFormat="1" ht="20.399999999999999">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154"/>
        <v/>
      </c>
      <c r="T1935" s="155" t="str">
        <f ca="1">IF(B1935="","",IF(ISERROR(MATCH($J1935,SorP!$B$1:$B$6226,0)),"",INDIRECT("'SorP'!$A$"&amp;MATCH($S1935&amp;$J1935,SorP!C:C,0))))</f>
        <v/>
      </c>
      <c r="U1935" s="168"/>
      <c r="V1935" s="169" t="e">
        <f>IF(C1935="",NA(),MATCH($B1935&amp;$C1935,'Smelter Look-up'!$J:$J,0))</f>
        <v>#N/A</v>
      </c>
      <c r="X1935" s="170">
        <f t="shared" ca="1" si="153"/>
        <v>0</v>
      </c>
      <c r="AB1935" s="313" t="str">
        <f t="shared" si="155"/>
        <v/>
      </c>
      <c r="AC1935" s="170" t="str">
        <f t="shared" si="156"/>
        <v/>
      </c>
      <c r="AD1935" s="170" t="str">
        <f t="shared" si="157"/>
        <v/>
      </c>
    </row>
    <row r="1936" spans="1:30" s="170" customFormat="1" ht="20.399999999999999">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154"/>
        <v/>
      </c>
      <c r="T1936" s="155" t="str">
        <f ca="1">IF(B1936="","",IF(ISERROR(MATCH($J1936,SorP!$B$1:$B$6226,0)),"",INDIRECT("'SorP'!$A$"&amp;MATCH($S1936&amp;$J1936,SorP!C:C,0))))</f>
        <v/>
      </c>
      <c r="U1936" s="168"/>
      <c r="V1936" s="169" t="e">
        <f>IF(C1936="",NA(),MATCH($B1936&amp;$C1936,'Smelter Look-up'!$J:$J,0))</f>
        <v>#N/A</v>
      </c>
      <c r="X1936" s="170">
        <f t="shared" ca="1" si="153"/>
        <v>0</v>
      </c>
      <c r="AB1936" s="313" t="str">
        <f t="shared" si="155"/>
        <v/>
      </c>
      <c r="AC1936" s="170" t="str">
        <f t="shared" si="156"/>
        <v/>
      </c>
      <c r="AD1936" s="170" t="str">
        <f t="shared" si="157"/>
        <v/>
      </c>
    </row>
    <row r="1937" spans="1:30" s="170" customFormat="1" ht="20.399999999999999">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154"/>
        <v/>
      </c>
      <c r="T1937" s="155" t="str">
        <f ca="1">IF(B1937="","",IF(ISERROR(MATCH($J1937,SorP!$B$1:$B$6226,0)),"",INDIRECT("'SorP'!$A$"&amp;MATCH($S1937&amp;$J1937,SorP!C:C,0))))</f>
        <v/>
      </c>
      <c r="U1937" s="168"/>
      <c r="V1937" s="169" t="e">
        <f>IF(C1937="",NA(),MATCH($B1937&amp;$C1937,'Smelter Look-up'!$J:$J,0))</f>
        <v>#N/A</v>
      </c>
      <c r="X1937" s="170">
        <f t="shared" ca="1" si="153"/>
        <v>0</v>
      </c>
      <c r="AB1937" s="313" t="str">
        <f t="shared" si="155"/>
        <v/>
      </c>
      <c r="AC1937" s="170" t="str">
        <f t="shared" si="156"/>
        <v/>
      </c>
      <c r="AD1937" s="170" t="str">
        <f t="shared" si="157"/>
        <v/>
      </c>
    </row>
    <row r="1938" spans="1:30" s="170" customFormat="1" ht="20.399999999999999">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154"/>
        <v/>
      </c>
      <c r="T1938" s="155" t="str">
        <f ca="1">IF(B1938="","",IF(ISERROR(MATCH($J1938,SorP!$B$1:$B$6226,0)),"",INDIRECT("'SorP'!$A$"&amp;MATCH($S1938&amp;$J1938,SorP!C:C,0))))</f>
        <v/>
      </c>
      <c r="U1938" s="168"/>
      <c r="V1938" s="169" t="e">
        <f>IF(C1938="",NA(),MATCH($B1938&amp;$C1938,'Smelter Look-up'!$J:$J,0))</f>
        <v>#N/A</v>
      </c>
      <c r="X1938" s="170">
        <f t="shared" ca="1" si="153"/>
        <v>0</v>
      </c>
      <c r="AB1938" s="313" t="str">
        <f t="shared" si="155"/>
        <v/>
      </c>
      <c r="AC1938" s="170" t="str">
        <f t="shared" si="156"/>
        <v/>
      </c>
      <c r="AD1938" s="170" t="str">
        <f t="shared" si="157"/>
        <v/>
      </c>
    </row>
    <row r="1939" spans="1:30" s="170" customFormat="1" ht="20.399999999999999">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154"/>
        <v/>
      </c>
      <c r="T1939" s="155" t="str">
        <f ca="1">IF(B1939="","",IF(ISERROR(MATCH($J1939,SorP!$B$1:$B$6226,0)),"",INDIRECT("'SorP'!$A$"&amp;MATCH($S1939&amp;$J1939,SorP!C:C,0))))</f>
        <v/>
      </c>
      <c r="U1939" s="168"/>
      <c r="V1939" s="169" t="e">
        <f>IF(C1939="",NA(),MATCH($B1939&amp;$C1939,'Smelter Look-up'!$J:$J,0))</f>
        <v>#N/A</v>
      </c>
      <c r="X1939" s="170">
        <f t="shared" ca="1" si="153"/>
        <v>0</v>
      </c>
      <c r="AB1939" s="313" t="str">
        <f t="shared" si="155"/>
        <v/>
      </c>
      <c r="AC1939" s="170" t="str">
        <f t="shared" si="156"/>
        <v/>
      </c>
      <c r="AD1939" s="170" t="str">
        <f t="shared" si="157"/>
        <v/>
      </c>
    </row>
    <row r="1940" spans="1:30" s="170" customFormat="1" ht="20.399999999999999">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154"/>
        <v/>
      </c>
      <c r="T1940" s="155" t="str">
        <f ca="1">IF(B1940="","",IF(ISERROR(MATCH($J1940,SorP!$B$1:$B$6226,0)),"",INDIRECT("'SorP'!$A$"&amp;MATCH($S1940&amp;$J1940,SorP!C:C,0))))</f>
        <v/>
      </c>
      <c r="U1940" s="168"/>
      <c r="V1940" s="169" t="e">
        <f>IF(C1940="",NA(),MATCH($B1940&amp;$C1940,'Smelter Look-up'!$J:$J,0))</f>
        <v>#N/A</v>
      </c>
      <c r="X1940" s="170">
        <f t="shared" ca="1" si="153"/>
        <v>0</v>
      </c>
      <c r="AB1940" s="313" t="str">
        <f t="shared" si="155"/>
        <v/>
      </c>
      <c r="AC1940" s="170" t="str">
        <f t="shared" si="156"/>
        <v/>
      </c>
      <c r="AD1940" s="170" t="str">
        <f t="shared" si="157"/>
        <v/>
      </c>
    </row>
    <row r="1941" spans="1:30" s="170" customFormat="1" ht="20.399999999999999">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154"/>
        <v/>
      </c>
      <c r="T1941" s="155" t="str">
        <f ca="1">IF(B1941="","",IF(ISERROR(MATCH($J1941,SorP!$B$1:$B$6226,0)),"",INDIRECT("'SorP'!$A$"&amp;MATCH($S1941&amp;$J1941,SorP!C:C,0))))</f>
        <v/>
      </c>
      <c r="U1941" s="168"/>
      <c r="V1941" s="169" t="e">
        <f>IF(C1941="",NA(),MATCH($B1941&amp;$C1941,'Smelter Look-up'!$J:$J,0))</f>
        <v>#N/A</v>
      </c>
      <c r="X1941" s="170">
        <f t="shared" ca="1" si="153"/>
        <v>0</v>
      </c>
      <c r="AB1941" s="313" t="str">
        <f t="shared" si="155"/>
        <v/>
      </c>
      <c r="AC1941" s="170" t="str">
        <f t="shared" si="156"/>
        <v/>
      </c>
      <c r="AD1941" s="170" t="str">
        <f t="shared" si="157"/>
        <v/>
      </c>
    </row>
    <row r="1942" spans="1:30" s="170" customFormat="1" ht="20.399999999999999">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154"/>
        <v/>
      </c>
      <c r="T1942" s="155" t="str">
        <f ca="1">IF(B1942="","",IF(ISERROR(MATCH($J1942,SorP!$B$1:$B$6226,0)),"",INDIRECT("'SorP'!$A$"&amp;MATCH($S1942&amp;$J1942,SorP!C:C,0))))</f>
        <v/>
      </c>
      <c r="U1942" s="168"/>
      <c r="V1942" s="169" t="e">
        <f>IF(C1942="",NA(),MATCH($B1942&amp;$C1942,'Smelter Look-up'!$J:$J,0))</f>
        <v>#N/A</v>
      </c>
      <c r="X1942" s="170">
        <f t="shared" ca="1" si="153"/>
        <v>0</v>
      </c>
      <c r="AB1942" s="313" t="str">
        <f t="shared" si="155"/>
        <v/>
      </c>
      <c r="AC1942" s="170" t="str">
        <f t="shared" si="156"/>
        <v/>
      </c>
      <c r="AD1942" s="170" t="str">
        <f t="shared" si="157"/>
        <v/>
      </c>
    </row>
    <row r="1943" spans="1:30" s="170" customFormat="1" ht="20.399999999999999">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154"/>
        <v/>
      </c>
      <c r="T1943" s="155" t="str">
        <f ca="1">IF(B1943="","",IF(ISERROR(MATCH($J1943,SorP!$B$1:$B$6226,0)),"",INDIRECT("'SorP'!$A$"&amp;MATCH($S1943&amp;$J1943,SorP!C:C,0))))</f>
        <v/>
      </c>
      <c r="U1943" s="168"/>
      <c r="V1943" s="169" t="e">
        <f>IF(C1943="",NA(),MATCH($B1943&amp;$C1943,'Smelter Look-up'!$J:$J,0))</f>
        <v>#N/A</v>
      </c>
      <c r="X1943" s="170">
        <f t="shared" ca="1" si="153"/>
        <v>0</v>
      </c>
      <c r="AB1943" s="313" t="str">
        <f t="shared" si="155"/>
        <v/>
      </c>
      <c r="AC1943" s="170" t="str">
        <f t="shared" si="156"/>
        <v/>
      </c>
      <c r="AD1943" s="170" t="str">
        <f t="shared" si="157"/>
        <v/>
      </c>
    </row>
    <row r="1944" spans="1:30" s="170" customFormat="1" ht="20.399999999999999">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154"/>
        <v/>
      </c>
      <c r="T1944" s="155" t="str">
        <f ca="1">IF(B1944="","",IF(ISERROR(MATCH($J1944,SorP!$B$1:$B$6226,0)),"",INDIRECT("'SorP'!$A$"&amp;MATCH($S1944&amp;$J1944,SorP!C:C,0))))</f>
        <v/>
      </c>
      <c r="U1944" s="168"/>
      <c r="V1944" s="169" t="e">
        <f>IF(C1944="",NA(),MATCH($B1944&amp;$C1944,'Smelter Look-up'!$J:$J,0))</f>
        <v>#N/A</v>
      </c>
      <c r="X1944" s="170">
        <f t="shared" ca="1" si="153"/>
        <v>0</v>
      </c>
      <c r="AB1944" s="313" t="str">
        <f t="shared" si="155"/>
        <v/>
      </c>
      <c r="AC1944" s="170" t="str">
        <f t="shared" si="156"/>
        <v/>
      </c>
      <c r="AD1944" s="170" t="str">
        <f t="shared" si="157"/>
        <v/>
      </c>
    </row>
    <row r="1945" spans="1:30" s="170" customFormat="1" ht="20.399999999999999">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154"/>
        <v/>
      </c>
      <c r="T1945" s="155" t="str">
        <f ca="1">IF(B1945="","",IF(ISERROR(MATCH($J1945,SorP!$B$1:$B$6226,0)),"",INDIRECT("'SorP'!$A$"&amp;MATCH($S1945&amp;$J1945,SorP!C:C,0))))</f>
        <v/>
      </c>
      <c r="U1945" s="168"/>
      <c r="V1945" s="169" t="e">
        <f>IF(C1945="",NA(),MATCH($B1945&amp;$C1945,'Smelter Look-up'!$J:$J,0))</f>
        <v>#N/A</v>
      </c>
      <c r="X1945" s="170">
        <f t="shared" ca="1" si="153"/>
        <v>0</v>
      </c>
      <c r="AB1945" s="313" t="str">
        <f t="shared" si="155"/>
        <v/>
      </c>
      <c r="AC1945" s="170" t="str">
        <f t="shared" si="156"/>
        <v/>
      </c>
      <c r="AD1945" s="170" t="str">
        <f t="shared" si="157"/>
        <v/>
      </c>
    </row>
    <row r="1946" spans="1:30" s="170" customFormat="1" ht="20.399999999999999">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154"/>
        <v/>
      </c>
      <c r="T1946" s="155" t="str">
        <f ca="1">IF(B1946="","",IF(ISERROR(MATCH($J1946,SorP!$B$1:$B$6226,0)),"",INDIRECT("'SorP'!$A$"&amp;MATCH($S1946&amp;$J1946,SorP!C:C,0))))</f>
        <v/>
      </c>
      <c r="U1946" s="168"/>
      <c r="V1946" s="169" t="e">
        <f>IF(C1946="",NA(),MATCH($B1946&amp;$C1946,'Smelter Look-up'!$J:$J,0))</f>
        <v>#N/A</v>
      </c>
      <c r="X1946" s="170">
        <f t="shared" ca="1" si="153"/>
        <v>0</v>
      </c>
      <c r="AB1946" s="313" t="str">
        <f t="shared" si="155"/>
        <v/>
      </c>
      <c r="AC1946" s="170" t="str">
        <f t="shared" si="156"/>
        <v/>
      </c>
      <c r="AD1946" s="170" t="str">
        <f t="shared" si="157"/>
        <v/>
      </c>
    </row>
    <row r="1947" spans="1:30" s="170" customFormat="1" ht="20.399999999999999">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154"/>
        <v/>
      </c>
      <c r="T1947" s="155" t="str">
        <f ca="1">IF(B1947="","",IF(ISERROR(MATCH($J1947,SorP!$B$1:$B$6226,0)),"",INDIRECT("'SorP'!$A$"&amp;MATCH($S1947&amp;$J1947,SorP!C:C,0))))</f>
        <v/>
      </c>
      <c r="U1947" s="168"/>
      <c r="V1947" s="169" t="e">
        <f>IF(C1947="",NA(),MATCH($B1947&amp;$C1947,'Smelter Look-up'!$J:$J,0))</f>
        <v>#N/A</v>
      </c>
      <c r="X1947" s="170">
        <f t="shared" ca="1" si="153"/>
        <v>0</v>
      </c>
      <c r="AB1947" s="313" t="str">
        <f t="shared" si="155"/>
        <v/>
      </c>
      <c r="AC1947" s="170" t="str">
        <f t="shared" si="156"/>
        <v/>
      </c>
      <c r="AD1947" s="170" t="str">
        <f t="shared" si="157"/>
        <v/>
      </c>
    </row>
    <row r="1948" spans="1:30" s="170" customFormat="1" ht="20.399999999999999">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154"/>
        <v/>
      </c>
      <c r="T1948" s="155" t="str">
        <f ca="1">IF(B1948="","",IF(ISERROR(MATCH($J1948,SorP!$B$1:$B$6226,0)),"",INDIRECT("'SorP'!$A$"&amp;MATCH($S1948&amp;$J1948,SorP!C:C,0))))</f>
        <v/>
      </c>
      <c r="U1948" s="168"/>
      <c r="V1948" s="169" t="e">
        <f>IF(C1948="",NA(),MATCH($B1948&amp;$C1948,'Smelter Look-up'!$J:$J,0))</f>
        <v>#N/A</v>
      </c>
      <c r="X1948" s="170">
        <f t="shared" ca="1" si="153"/>
        <v>0</v>
      </c>
      <c r="AB1948" s="313" t="str">
        <f t="shared" si="155"/>
        <v/>
      </c>
      <c r="AC1948" s="170" t="str">
        <f t="shared" si="156"/>
        <v/>
      </c>
      <c r="AD1948" s="170" t="str">
        <f t="shared" si="157"/>
        <v/>
      </c>
    </row>
    <row r="1949" spans="1:30" s="170" customFormat="1" ht="20.399999999999999">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154"/>
        <v/>
      </c>
      <c r="T1949" s="155" t="str">
        <f ca="1">IF(B1949="","",IF(ISERROR(MATCH($J1949,SorP!$B$1:$B$6226,0)),"",INDIRECT("'SorP'!$A$"&amp;MATCH($S1949&amp;$J1949,SorP!C:C,0))))</f>
        <v/>
      </c>
      <c r="U1949" s="168"/>
      <c r="V1949" s="169" t="e">
        <f>IF(C1949="",NA(),MATCH($B1949&amp;$C1949,'Smelter Look-up'!$J:$J,0))</f>
        <v>#N/A</v>
      </c>
      <c r="X1949" s="170">
        <f t="shared" ca="1" si="153"/>
        <v>0</v>
      </c>
      <c r="AB1949" s="313" t="str">
        <f t="shared" si="155"/>
        <v/>
      </c>
      <c r="AC1949" s="170" t="str">
        <f t="shared" si="156"/>
        <v/>
      </c>
      <c r="AD1949" s="170" t="str">
        <f t="shared" si="157"/>
        <v/>
      </c>
    </row>
    <row r="1950" spans="1:30" s="170" customFormat="1" ht="20.399999999999999">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154"/>
        <v/>
      </c>
      <c r="T1950" s="155" t="str">
        <f ca="1">IF(B1950="","",IF(ISERROR(MATCH($J1950,SorP!$B$1:$B$6226,0)),"",INDIRECT("'SorP'!$A$"&amp;MATCH($S1950&amp;$J1950,SorP!C:C,0))))</f>
        <v/>
      </c>
      <c r="U1950" s="168"/>
      <c r="V1950" s="169" t="e">
        <f>IF(C1950="",NA(),MATCH($B1950&amp;$C1950,'Smelter Look-up'!$J:$J,0))</f>
        <v>#N/A</v>
      </c>
      <c r="X1950" s="170">
        <f t="shared" ca="1" si="153"/>
        <v>0</v>
      </c>
      <c r="AB1950" s="313" t="str">
        <f t="shared" si="155"/>
        <v/>
      </c>
      <c r="AC1950" s="170" t="str">
        <f t="shared" si="156"/>
        <v/>
      </c>
      <c r="AD1950" s="170" t="str">
        <f t="shared" si="157"/>
        <v/>
      </c>
    </row>
    <row r="1951" spans="1:30" s="170" customFormat="1" ht="20.399999999999999">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154"/>
        <v/>
      </c>
      <c r="T1951" s="155" t="str">
        <f ca="1">IF(B1951="","",IF(ISERROR(MATCH($J1951,SorP!$B$1:$B$6226,0)),"",INDIRECT("'SorP'!$A$"&amp;MATCH($S1951&amp;$J1951,SorP!C:C,0))))</f>
        <v/>
      </c>
      <c r="U1951" s="168"/>
      <c r="V1951" s="169" t="e">
        <f>IF(C1951="",NA(),MATCH($B1951&amp;$C1951,'Smelter Look-up'!$J:$J,0))</f>
        <v>#N/A</v>
      </c>
      <c r="X1951" s="170">
        <f t="shared" ca="1" si="153"/>
        <v>0</v>
      </c>
      <c r="AB1951" s="313" t="str">
        <f t="shared" si="155"/>
        <v/>
      </c>
      <c r="AC1951" s="170" t="str">
        <f t="shared" si="156"/>
        <v/>
      </c>
      <c r="AD1951" s="170" t="str">
        <f t="shared" si="157"/>
        <v/>
      </c>
    </row>
    <row r="1952" spans="1:30" s="170" customFormat="1" ht="20.399999999999999">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154"/>
        <v/>
      </c>
      <c r="T1952" s="155" t="str">
        <f ca="1">IF(B1952="","",IF(ISERROR(MATCH($J1952,SorP!$B$1:$B$6226,0)),"",INDIRECT("'SorP'!$A$"&amp;MATCH($S1952&amp;$J1952,SorP!C:C,0))))</f>
        <v/>
      </c>
      <c r="U1952" s="168"/>
      <c r="V1952" s="169" t="e">
        <f>IF(C1952="",NA(),MATCH($B1952&amp;$C1952,'Smelter Look-up'!$J:$J,0))</f>
        <v>#N/A</v>
      </c>
      <c r="X1952" s="170">
        <f t="shared" ca="1" si="153"/>
        <v>0</v>
      </c>
      <c r="AB1952" s="313" t="str">
        <f t="shared" si="155"/>
        <v/>
      </c>
      <c r="AC1952" s="170" t="str">
        <f t="shared" si="156"/>
        <v/>
      </c>
      <c r="AD1952" s="170" t="str">
        <f t="shared" si="157"/>
        <v/>
      </c>
    </row>
    <row r="1953" spans="1:30" s="170" customFormat="1" ht="20.399999999999999">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154"/>
        <v/>
      </c>
      <c r="T1953" s="155" t="str">
        <f ca="1">IF(B1953="","",IF(ISERROR(MATCH($J1953,SorP!$B$1:$B$6226,0)),"",INDIRECT("'SorP'!$A$"&amp;MATCH($S1953&amp;$J1953,SorP!C:C,0))))</f>
        <v/>
      </c>
      <c r="U1953" s="168"/>
      <c r="V1953" s="169" t="e">
        <f>IF(C1953="",NA(),MATCH($B1953&amp;$C1953,'Smelter Look-up'!$J:$J,0))</f>
        <v>#N/A</v>
      </c>
      <c r="X1953" s="170">
        <f t="shared" ca="1" si="153"/>
        <v>0</v>
      </c>
      <c r="AB1953" s="313" t="str">
        <f t="shared" si="155"/>
        <v/>
      </c>
      <c r="AC1953" s="170" t="str">
        <f t="shared" si="156"/>
        <v/>
      </c>
      <c r="AD1953" s="170" t="str">
        <f t="shared" si="157"/>
        <v/>
      </c>
    </row>
    <row r="1954" spans="1:30" s="170" customFormat="1" ht="20.399999999999999">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154"/>
        <v/>
      </c>
      <c r="T1954" s="155" t="str">
        <f ca="1">IF(B1954="","",IF(ISERROR(MATCH($J1954,SorP!$B$1:$B$6226,0)),"",INDIRECT("'SorP'!$A$"&amp;MATCH($S1954&amp;$J1954,SorP!C:C,0))))</f>
        <v/>
      </c>
      <c r="U1954" s="168"/>
      <c r="V1954" s="169" t="e">
        <f>IF(C1954="",NA(),MATCH($B1954&amp;$C1954,'Smelter Look-up'!$J:$J,0))</f>
        <v>#N/A</v>
      </c>
      <c r="X1954" s="170">
        <f t="shared" ca="1" si="153"/>
        <v>0</v>
      </c>
      <c r="AB1954" s="313" t="str">
        <f t="shared" si="155"/>
        <v/>
      </c>
      <c r="AC1954" s="170" t="str">
        <f t="shared" si="156"/>
        <v/>
      </c>
      <c r="AD1954" s="170" t="str">
        <f t="shared" si="157"/>
        <v/>
      </c>
    </row>
    <row r="1955" spans="1:30" s="170" customFormat="1" ht="20.399999999999999">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154"/>
        <v/>
      </c>
      <c r="T1955" s="155" t="str">
        <f ca="1">IF(B1955="","",IF(ISERROR(MATCH($J1955,SorP!$B$1:$B$6226,0)),"",INDIRECT("'SorP'!$A$"&amp;MATCH($S1955&amp;$J1955,SorP!C:C,0))))</f>
        <v/>
      </c>
      <c r="U1955" s="168"/>
      <c r="V1955" s="169" t="e">
        <f>IF(C1955="",NA(),MATCH($B1955&amp;$C1955,'Smelter Look-up'!$J:$J,0))</f>
        <v>#N/A</v>
      </c>
      <c r="X1955" s="170">
        <f t="shared" ca="1" si="153"/>
        <v>0</v>
      </c>
      <c r="AB1955" s="313" t="str">
        <f t="shared" si="155"/>
        <v/>
      </c>
      <c r="AC1955" s="170" t="str">
        <f t="shared" si="156"/>
        <v/>
      </c>
      <c r="AD1955" s="170" t="str">
        <f t="shared" si="157"/>
        <v/>
      </c>
    </row>
    <row r="1956" spans="1:30" s="170" customFormat="1" ht="20.399999999999999">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154"/>
        <v/>
      </c>
      <c r="T1956" s="155" t="str">
        <f ca="1">IF(B1956="","",IF(ISERROR(MATCH($J1956,SorP!$B$1:$B$6226,0)),"",INDIRECT("'SorP'!$A$"&amp;MATCH($S1956&amp;$J1956,SorP!C:C,0))))</f>
        <v/>
      </c>
      <c r="U1956" s="168"/>
      <c r="V1956" s="169" t="e">
        <f>IF(C1956="",NA(),MATCH($B1956&amp;$C1956,'Smelter Look-up'!$J:$J,0))</f>
        <v>#N/A</v>
      </c>
      <c r="X1956" s="170">
        <f t="shared" ca="1" si="153"/>
        <v>0</v>
      </c>
      <c r="AB1956" s="313" t="str">
        <f t="shared" si="155"/>
        <v/>
      </c>
      <c r="AC1956" s="170" t="str">
        <f t="shared" si="156"/>
        <v/>
      </c>
      <c r="AD1956" s="170" t="str">
        <f t="shared" si="157"/>
        <v/>
      </c>
    </row>
    <row r="1957" spans="1:30" s="170" customFormat="1" ht="20.399999999999999">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154"/>
        <v/>
      </c>
      <c r="T1957" s="155" t="str">
        <f ca="1">IF(B1957="","",IF(ISERROR(MATCH($J1957,SorP!$B$1:$B$6226,0)),"",INDIRECT("'SorP'!$A$"&amp;MATCH($S1957&amp;$J1957,SorP!C:C,0))))</f>
        <v/>
      </c>
      <c r="U1957" s="168"/>
      <c r="V1957" s="169" t="e">
        <f>IF(C1957="",NA(),MATCH($B1957&amp;$C1957,'Smelter Look-up'!$J:$J,0))</f>
        <v>#N/A</v>
      </c>
      <c r="X1957" s="170">
        <f t="shared" ca="1" si="153"/>
        <v>0</v>
      </c>
      <c r="AB1957" s="313" t="str">
        <f t="shared" si="155"/>
        <v/>
      </c>
      <c r="AC1957" s="170" t="str">
        <f t="shared" si="156"/>
        <v/>
      </c>
      <c r="AD1957" s="170" t="str">
        <f t="shared" si="157"/>
        <v/>
      </c>
    </row>
    <row r="1958" spans="1:30" s="170" customFormat="1" ht="20.399999999999999">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154"/>
        <v/>
      </c>
      <c r="T1958" s="155" t="str">
        <f ca="1">IF(B1958="","",IF(ISERROR(MATCH($J1958,SorP!$B$1:$B$6226,0)),"",INDIRECT("'SorP'!$A$"&amp;MATCH($S1958&amp;$J1958,SorP!C:C,0))))</f>
        <v/>
      </c>
      <c r="U1958" s="168"/>
      <c r="V1958" s="169" t="e">
        <f>IF(C1958="",NA(),MATCH($B1958&amp;$C1958,'Smelter Look-up'!$J:$J,0))</f>
        <v>#N/A</v>
      </c>
      <c r="X1958" s="170">
        <f t="shared" ca="1" si="153"/>
        <v>0</v>
      </c>
      <c r="AB1958" s="313" t="str">
        <f t="shared" si="155"/>
        <v/>
      </c>
      <c r="AC1958" s="170" t="str">
        <f t="shared" si="156"/>
        <v/>
      </c>
      <c r="AD1958" s="170" t="str">
        <f t="shared" si="157"/>
        <v/>
      </c>
    </row>
    <row r="1959" spans="1:30" s="170" customFormat="1" ht="20.399999999999999">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154"/>
        <v/>
      </c>
      <c r="T1959" s="155" t="str">
        <f ca="1">IF(B1959="","",IF(ISERROR(MATCH($J1959,SorP!$B$1:$B$6226,0)),"",INDIRECT("'SorP'!$A$"&amp;MATCH($S1959&amp;$J1959,SorP!C:C,0))))</f>
        <v/>
      </c>
      <c r="U1959" s="168"/>
      <c r="V1959" s="169" t="e">
        <f>IF(C1959="",NA(),MATCH($B1959&amp;$C1959,'Smelter Look-up'!$J:$J,0))</f>
        <v>#N/A</v>
      </c>
      <c r="X1959" s="170">
        <f t="shared" ca="1" si="153"/>
        <v>0</v>
      </c>
      <c r="AB1959" s="313" t="str">
        <f t="shared" si="155"/>
        <v/>
      </c>
      <c r="AC1959" s="170" t="str">
        <f t="shared" si="156"/>
        <v/>
      </c>
      <c r="AD1959" s="170" t="str">
        <f t="shared" si="157"/>
        <v/>
      </c>
    </row>
    <row r="1960" spans="1:30" s="170" customFormat="1" ht="20.399999999999999">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154"/>
        <v/>
      </c>
      <c r="T1960" s="155" t="str">
        <f ca="1">IF(B1960="","",IF(ISERROR(MATCH($J1960,SorP!$B$1:$B$6226,0)),"",INDIRECT("'SorP'!$A$"&amp;MATCH($S1960&amp;$J1960,SorP!C:C,0))))</f>
        <v/>
      </c>
      <c r="U1960" s="168"/>
      <c r="V1960" s="169" t="e">
        <f>IF(C1960="",NA(),MATCH($B1960&amp;$C1960,'Smelter Look-up'!$J:$J,0))</f>
        <v>#N/A</v>
      </c>
      <c r="X1960" s="170">
        <f t="shared" ca="1" si="153"/>
        <v>0</v>
      </c>
      <c r="AB1960" s="313" t="str">
        <f t="shared" si="155"/>
        <v/>
      </c>
      <c r="AC1960" s="170" t="str">
        <f t="shared" si="156"/>
        <v/>
      </c>
      <c r="AD1960" s="170" t="str">
        <f t="shared" si="157"/>
        <v/>
      </c>
    </row>
    <row r="1961" spans="1:30" s="170" customFormat="1" ht="20.399999999999999">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154"/>
        <v/>
      </c>
      <c r="T1961" s="155" t="str">
        <f ca="1">IF(B1961="","",IF(ISERROR(MATCH($J1961,SorP!$B$1:$B$6226,0)),"",INDIRECT("'SorP'!$A$"&amp;MATCH($S1961&amp;$J1961,SorP!C:C,0))))</f>
        <v/>
      </c>
      <c r="U1961" s="168"/>
      <c r="V1961" s="169" t="e">
        <f>IF(C1961="",NA(),MATCH($B1961&amp;$C1961,'Smelter Look-up'!$J:$J,0))</f>
        <v>#N/A</v>
      </c>
      <c r="X1961" s="170">
        <f t="shared" ca="1" si="153"/>
        <v>0</v>
      </c>
      <c r="AB1961" s="313" t="str">
        <f t="shared" si="155"/>
        <v/>
      </c>
      <c r="AC1961" s="170" t="str">
        <f t="shared" si="156"/>
        <v/>
      </c>
      <c r="AD1961" s="170" t="str">
        <f t="shared" si="157"/>
        <v/>
      </c>
    </row>
    <row r="1962" spans="1:30" s="170" customFormat="1" ht="20.399999999999999">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154"/>
        <v/>
      </c>
      <c r="T1962" s="155" t="str">
        <f ca="1">IF(B1962="","",IF(ISERROR(MATCH($J1962,SorP!$B$1:$B$6226,0)),"",INDIRECT("'SorP'!$A$"&amp;MATCH($S1962&amp;$J1962,SorP!C:C,0))))</f>
        <v/>
      </c>
      <c r="U1962" s="168"/>
      <c r="V1962" s="169" t="e">
        <f>IF(C1962="",NA(),MATCH($B1962&amp;$C1962,'Smelter Look-up'!$J:$J,0))</f>
        <v>#N/A</v>
      </c>
      <c r="X1962" s="170">
        <f t="shared" ca="1" si="153"/>
        <v>0</v>
      </c>
      <c r="AB1962" s="313" t="str">
        <f t="shared" si="155"/>
        <v/>
      </c>
      <c r="AC1962" s="170" t="str">
        <f t="shared" si="156"/>
        <v/>
      </c>
      <c r="AD1962" s="170" t="str">
        <f t="shared" si="157"/>
        <v/>
      </c>
    </row>
    <row r="1963" spans="1:30" s="170" customFormat="1" ht="20.399999999999999">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154"/>
        <v/>
      </c>
      <c r="T1963" s="155" t="str">
        <f ca="1">IF(B1963="","",IF(ISERROR(MATCH($J1963,SorP!$B$1:$B$6226,0)),"",INDIRECT("'SorP'!$A$"&amp;MATCH($S1963&amp;$J1963,SorP!C:C,0))))</f>
        <v/>
      </c>
      <c r="U1963" s="168"/>
      <c r="V1963" s="169" t="e">
        <f>IF(C1963="",NA(),MATCH($B1963&amp;$C1963,'Smelter Look-up'!$J:$J,0))</f>
        <v>#N/A</v>
      </c>
      <c r="X1963" s="170">
        <f t="shared" ca="1" si="153"/>
        <v>0</v>
      </c>
      <c r="AB1963" s="313" t="str">
        <f t="shared" si="155"/>
        <v/>
      </c>
      <c r="AC1963" s="170" t="str">
        <f t="shared" si="156"/>
        <v/>
      </c>
      <c r="AD1963" s="170" t="str">
        <f t="shared" si="157"/>
        <v/>
      </c>
    </row>
    <row r="1964" spans="1:30" s="170" customFormat="1" ht="20.399999999999999">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154"/>
        <v/>
      </c>
      <c r="T1964" s="155" t="str">
        <f ca="1">IF(B1964="","",IF(ISERROR(MATCH($J1964,SorP!$B$1:$B$6226,0)),"",INDIRECT("'SorP'!$A$"&amp;MATCH($S1964&amp;$J1964,SorP!C:C,0))))</f>
        <v/>
      </c>
      <c r="U1964" s="168"/>
      <c r="V1964" s="169" t="e">
        <f>IF(C1964="",NA(),MATCH($B1964&amp;$C1964,'Smelter Look-up'!$J:$J,0))</f>
        <v>#N/A</v>
      </c>
      <c r="X1964" s="170">
        <f t="shared" ca="1" si="153"/>
        <v>0</v>
      </c>
      <c r="AB1964" s="313" t="str">
        <f t="shared" si="155"/>
        <v/>
      </c>
      <c r="AC1964" s="170" t="str">
        <f t="shared" si="156"/>
        <v/>
      </c>
      <c r="AD1964" s="170" t="str">
        <f t="shared" si="157"/>
        <v/>
      </c>
    </row>
    <row r="1965" spans="1:30" s="170" customFormat="1" ht="20.399999999999999">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154"/>
        <v/>
      </c>
      <c r="T1965" s="155" t="str">
        <f ca="1">IF(B1965="","",IF(ISERROR(MATCH($J1965,SorP!$B$1:$B$6226,0)),"",INDIRECT("'SorP'!$A$"&amp;MATCH($S1965&amp;$J1965,SorP!C:C,0))))</f>
        <v/>
      </c>
      <c r="U1965" s="168"/>
      <c r="V1965" s="169" t="e">
        <f>IF(C1965="",NA(),MATCH($B1965&amp;$C1965,'Smelter Look-up'!$J:$J,0))</f>
        <v>#N/A</v>
      </c>
      <c r="X1965" s="170">
        <f t="shared" ca="1" si="153"/>
        <v>0</v>
      </c>
      <c r="AB1965" s="313" t="str">
        <f t="shared" si="155"/>
        <v/>
      </c>
      <c r="AC1965" s="170" t="str">
        <f t="shared" si="156"/>
        <v/>
      </c>
      <c r="AD1965" s="170" t="str">
        <f t="shared" si="157"/>
        <v/>
      </c>
    </row>
    <row r="1966" spans="1:30" s="170" customFormat="1" ht="20.399999999999999">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154"/>
        <v/>
      </c>
      <c r="T1966" s="155" t="str">
        <f ca="1">IF(B1966="","",IF(ISERROR(MATCH($J1966,SorP!$B$1:$B$6226,0)),"",INDIRECT("'SorP'!$A$"&amp;MATCH($S1966&amp;$J1966,SorP!C:C,0))))</f>
        <v/>
      </c>
      <c r="U1966" s="168"/>
      <c r="V1966" s="169" t="e">
        <f>IF(C1966="",NA(),MATCH($B1966&amp;$C1966,'Smelter Look-up'!$J:$J,0))</f>
        <v>#N/A</v>
      </c>
      <c r="X1966" s="170">
        <f t="shared" ca="1" si="153"/>
        <v>0</v>
      </c>
      <c r="AB1966" s="313" t="str">
        <f t="shared" si="155"/>
        <v/>
      </c>
      <c r="AC1966" s="170" t="str">
        <f t="shared" si="156"/>
        <v/>
      </c>
      <c r="AD1966" s="170" t="str">
        <f t="shared" si="157"/>
        <v/>
      </c>
    </row>
    <row r="1967" spans="1:30" s="170" customFormat="1" ht="20.399999999999999">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154"/>
        <v/>
      </c>
      <c r="T1967" s="155" t="str">
        <f ca="1">IF(B1967="","",IF(ISERROR(MATCH($J1967,SorP!$B$1:$B$6226,0)),"",INDIRECT("'SorP'!$A$"&amp;MATCH($S1967&amp;$J1967,SorP!C:C,0))))</f>
        <v/>
      </c>
      <c r="U1967" s="168"/>
      <c r="V1967" s="169" t="e">
        <f>IF(C1967="",NA(),MATCH($B1967&amp;$C1967,'Smelter Look-up'!$J:$J,0))</f>
        <v>#N/A</v>
      </c>
      <c r="X1967" s="170">
        <f t="shared" ca="1" si="153"/>
        <v>0</v>
      </c>
      <c r="AB1967" s="313" t="str">
        <f t="shared" si="155"/>
        <v/>
      </c>
      <c r="AC1967" s="170" t="str">
        <f t="shared" si="156"/>
        <v/>
      </c>
      <c r="AD1967" s="170" t="str">
        <f t="shared" si="157"/>
        <v/>
      </c>
    </row>
    <row r="1968" spans="1:30" s="170" customFormat="1" ht="20.399999999999999">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154"/>
        <v/>
      </c>
      <c r="T1968" s="155" t="str">
        <f ca="1">IF(B1968="","",IF(ISERROR(MATCH($J1968,SorP!$B$1:$B$6226,0)),"",INDIRECT("'SorP'!$A$"&amp;MATCH($S1968&amp;$J1968,SorP!C:C,0))))</f>
        <v/>
      </c>
      <c r="U1968" s="168"/>
      <c r="V1968" s="169" t="e">
        <f>IF(C1968="",NA(),MATCH($B1968&amp;$C1968,'Smelter Look-up'!$J:$J,0))</f>
        <v>#N/A</v>
      </c>
      <c r="X1968" s="170">
        <f t="shared" ca="1" si="153"/>
        <v>0</v>
      </c>
      <c r="AB1968" s="313" t="str">
        <f t="shared" si="155"/>
        <v/>
      </c>
      <c r="AC1968" s="170" t="str">
        <f t="shared" si="156"/>
        <v/>
      </c>
      <c r="AD1968" s="170" t="str">
        <f t="shared" si="157"/>
        <v/>
      </c>
    </row>
    <row r="1969" spans="1:30" s="170" customFormat="1" ht="20.399999999999999">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154"/>
        <v/>
      </c>
      <c r="T1969" s="155" t="str">
        <f ca="1">IF(B1969="","",IF(ISERROR(MATCH($J1969,SorP!$B$1:$B$6226,0)),"",INDIRECT("'SorP'!$A$"&amp;MATCH($S1969&amp;$J1969,SorP!C:C,0))))</f>
        <v/>
      </c>
      <c r="U1969" s="168"/>
      <c r="V1969" s="169" t="e">
        <f>IF(C1969="",NA(),MATCH($B1969&amp;$C1969,'Smelter Look-up'!$J:$J,0))</f>
        <v>#N/A</v>
      </c>
      <c r="X1969" s="170">
        <f t="shared" ca="1" si="153"/>
        <v>0</v>
      </c>
      <c r="AB1969" s="313" t="str">
        <f t="shared" si="155"/>
        <v/>
      </c>
      <c r="AC1969" s="170" t="str">
        <f t="shared" si="156"/>
        <v/>
      </c>
      <c r="AD1969" s="170" t="str">
        <f t="shared" si="157"/>
        <v/>
      </c>
    </row>
    <row r="1970" spans="1:30" s="170" customFormat="1" ht="20.399999999999999">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154"/>
        <v/>
      </c>
      <c r="T1970" s="155" t="str">
        <f ca="1">IF(B1970="","",IF(ISERROR(MATCH($J1970,SorP!$B$1:$B$6226,0)),"",INDIRECT("'SorP'!$A$"&amp;MATCH($S1970&amp;$J1970,SorP!C:C,0))))</f>
        <v/>
      </c>
      <c r="U1970" s="168"/>
      <c r="V1970" s="169" t="e">
        <f>IF(C1970="",NA(),MATCH($B1970&amp;$C1970,'Smelter Look-up'!$J:$J,0))</f>
        <v>#N/A</v>
      </c>
      <c r="X1970" s="170">
        <f t="shared" ca="1" si="153"/>
        <v>0</v>
      </c>
      <c r="AB1970" s="313" t="str">
        <f t="shared" si="155"/>
        <v/>
      </c>
      <c r="AC1970" s="170" t="str">
        <f t="shared" si="156"/>
        <v/>
      </c>
      <c r="AD1970" s="170" t="str">
        <f t="shared" si="157"/>
        <v/>
      </c>
    </row>
    <row r="1971" spans="1:30" s="170" customFormat="1" ht="20.399999999999999">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154"/>
        <v/>
      </c>
      <c r="T1971" s="155" t="str">
        <f ca="1">IF(B1971="","",IF(ISERROR(MATCH($J1971,SorP!$B$1:$B$6226,0)),"",INDIRECT("'SorP'!$A$"&amp;MATCH($S1971&amp;$J1971,SorP!C:C,0))))</f>
        <v/>
      </c>
      <c r="U1971" s="168"/>
      <c r="V1971" s="169" t="e">
        <f>IF(C1971="",NA(),MATCH($B1971&amp;$C1971,'Smelter Look-up'!$J:$J,0))</f>
        <v>#N/A</v>
      </c>
      <c r="X1971" s="170">
        <f t="shared" ca="1" si="153"/>
        <v>0</v>
      </c>
      <c r="AB1971" s="313" t="str">
        <f t="shared" si="155"/>
        <v/>
      </c>
      <c r="AC1971" s="170" t="str">
        <f t="shared" si="156"/>
        <v/>
      </c>
      <c r="AD1971" s="170" t="str">
        <f t="shared" si="157"/>
        <v/>
      </c>
    </row>
    <row r="1972" spans="1:30" s="170" customFormat="1" ht="20.399999999999999">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154"/>
        <v/>
      </c>
      <c r="T1972" s="155" t="str">
        <f ca="1">IF(B1972="","",IF(ISERROR(MATCH($J1972,SorP!$B$1:$B$6226,0)),"",INDIRECT("'SorP'!$A$"&amp;MATCH($S1972&amp;$J1972,SorP!C:C,0))))</f>
        <v/>
      </c>
      <c r="U1972" s="168"/>
      <c r="V1972" s="169" t="e">
        <f>IF(C1972="",NA(),MATCH($B1972&amp;$C1972,'Smelter Look-up'!$J:$J,0))</f>
        <v>#N/A</v>
      </c>
      <c r="X1972" s="170">
        <f t="shared" ca="1" si="153"/>
        <v>0</v>
      </c>
      <c r="AB1972" s="313" t="str">
        <f t="shared" si="155"/>
        <v/>
      </c>
      <c r="AC1972" s="170" t="str">
        <f t="shared" si="156"/>
        <v/>
      </c>
      <c r="AD1972" s="170" t="str">
        <f t="shared" si="157"/>
        <v/>
      </c>
    </row>
    <row r="1973" spans="1:30" s="170" customFormat="1" ht="20.399999999999999">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154"/>
        <v/>
      </c>
      <c r="T1973" s="155" t="str">
        <f ca="1">IF(B1973="","",IF(ISERROR(MATCH($J1973,SorP!$B$1:$B$6226,0)),"",INDIRECT("'SorP'!$A$"&amp;MATCH($S1973&amp;$J1973,SorP!C:C,0))))</f>
        <v/>
      </c>
      <c r="U1973" s="168"/>
      <c r="V1973" s="169" t="e">
        <f>IF(C1973="",NA(),MATCH($B1973&amp;$C1973,'Smelter Look-up'!$J:$J,0))</f>
        <v>#N/A</v>
      </c>
      <c r="X1973" s="170">
        <f t="shared" ca="1" si="153"/>
        <v>0</v>
      </c>
      <c r="AB1973" s="313" t="str">
        <f t="shared" si="155"/>
        <v/>
      </c>
      <c r="AC1973" s="170" t="str">
        <f t="shared" si="156"/>
        <v/>
      </c>
      <c r="AD1973" s="170" t="str">
        <f t="shared" si="157"/>
        <v/>
      </c>
    </row>
    <row r="1974" spans="1:30" s="170" customFormat="1" ht="20.399999999999999">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154"/>
        <v/>
      </c>
      <c r="T1974" s="155" t="str">
        <f ca="1">IF(B1974="","",IF(ISERROR(MATCH($J1974,SorP!$B$1:$B$6226,0)),"",INDIRECT("'SorP'!$A$"&amp;MATCH($S1974&amp;$J1974,SorP!C:C,0))))</f>
        <v/>
      </c>
      <c r="U1974" s="168"/>
      <c r="V1974" s="169" t="e">
        <f>IF(C1974="",NA(),MATCH($B1974&amp;$C1974,'Smelter Look-up'!$J:$J,0))</f>
        <v>#N/A</v>
      </c>
      <c r="X1974" s="170">
        <f t="shared" ca="1" si="153"/>
        <v>0</v>
      </c>
      <c r="AB1974" s="313" t="str">
        <f t="shared" si="155"/>
        <v/>
      </c>
      <c r="AC1974" s="170" t="str">
        <f t="shared" si="156"/>
        <v/>
      </c>
      <c r="AD1974" s="170" t="str">
        <f t="shared" si="157"/>
        <v/>
      </c>
    </row>
    <row r="1975" spans="1:30" s="170" customFormat="1" ht="20.399999999999999">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154"/>
        <v/>
      </c>
      <c r="T1975" s="155" t="str">
        <f ca="1">IF(B1975="","",IF(ISERROR(MATCH($J1975,SorP!$B$1:$B$6226,0)),"",INDIRECT("'SorP'!$A$"&amp;MATCH($S1975&amp;$J1975,SorP!C:C,0))))</f>
        <v/>
      </c>
      <c r="U1975" s="168"/>
      <c r="V1975" s="169" t="e">
        <f>IF(C1975="",NA(),MATCH($B1975&amp;$C1975,'Smelter Look-up'!$J:$J,0))</f>
        <v>#N/A</v>
      </c>
      <c r="X1975" s="170">
        <f t="shared" ca="1" si="153"/>
        <v>0</v>
      </c>
      <c r="AB1975" s="313" t="str">
        <f t="shared" si="155"/>
        <v/>
      </c>
      <c r="AC1975" s="170" t="str">
        <f t="shared" si="156"/>
        <v/>
      </c>
      <c r="AD1975" s="170" t="str">
        <f t="shared" si="157"/>
        <v/>
      </c>
    </row>
    <row r="1976" spans="1:30" s="170" customFormat="1" ht="20.399999999999999">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154"/>
        <v/>
      </c>
      <c r="T1976" s="155" t="str">
        <f ca="1">IF(B1976="","",IF(ISERROR(MATCH($J1976,SorP!$B$1:$B$6226,0)),"",INDIRECT("'SorP'!$A$"&amp;MATCH($S1976&amp;$J1976,SorP!C:C,0))))</f>
        <v/>
      </c>
      <c r="U1976" s="168"/>
      <c r="V1976" s="169" t="e">
        <f>IF(C1976="",NA(),MATCH($B1976&amp;$C1976,'Smelter Look-up'!$J:$J,0))</f>
        <v>#N/A</v>
      </c>
      <c r="X1976" s="170">
        <f t="shared" ca="1" si="153"/>
        <v>0</v>
      </c>
      <c r="AB1976" s="313" t="str">
        <f t="shared" si="155"/>
        <v/>
      </c>
      <c r="AC1976" s="170" t="str">
        <f t="shared" si="156"/>
        <v/>
      </c>
      <c r="AD1976" s="170" t="str">
        <f t="shared" si="157"/>
        <v/>
      </c>
    </row>
    <row r="1977" spans="1:30" s="170" customFormat="1" ht="20.399999999999999">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154"/>
        <v/>
      </c>
      <c r="T1977" s="155" t="str">
        <f ca="1">IF(B1977="","",IF(ISERROR(MATCH($J1977,SorP!$B$1:$B$6226,0)),"",INDIRECT("'SorP'!$A$"&amp;MATCH($S1977&amp;$J1977,SorP!C:C,0))))</f>
        <v/>
      </c>
      <c r="U1977" s="168"/>
      <c r="V1977" s="169" t="e">
        <f>IF(C1977="",NA(),MATCH($B1977&amp;$C1977,'Smelter Look-up'!$J:$J,0))</f>
        <v>#N/A</v>
      </c>
      <c r="X1977" s="170">
        <f t="shared" ca="1" si="153"/>
        <v>0</v>
      </c>
      <c r="AB1977" s="313" t="str">
        <f t="shared" si="155"/>
        <v/>
      </c>
      <c r="AC1977" s="170" t="str">
        <f t="shared" si="156"/>
        <v/>
      </c>
      <c r="AD1977" s="170" t="str">
        <f t="shared" si="157"/>
        <v/>
      </c>
    </row>
    <row r="1978" spans="1:30" s="170" customFormat="1" ht="20.399999999999999">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154"/>
        <v/>
      </c>
      <c r="T1978" s="155" t="str">
        <f ca="1">IF(B1978="","",IF(ISERROR(MATCH($J1978,SorP!$B$1:$B$6226,0)),"",INDIRECT("'SorP'!$A$"&amp;MATCH($S1978&amp;$J1978,SorP!C:C,0))))</f>
        <v/>
      </c>
      <c r="U1978" s="168"/>
      <c r="V1978" s="169" t="e">
        <f>IF(C1978="",NA(),MATCH($B1978&amp;$C1978,'Smelter Look-up'!$J:$J,0))</f>
        <v>#N/A</v>
      </c>
      <c r="X1978" s="170">
        <f t="shared" ca="1" si="153"/>
        <v>0</v>
      </c>
      <c r="AB1978" s="313" t="str">
        <f t="shared" si="155"/>
        <v/>
      </c>
      <c r="AC1978" s="170" t="str">
        <f t="shared" si="156"/>
        <v/>
      </c>
      <c r="AD1978" s="170" t="str">
        <f t="shared" si="157"/>
        <v/>
      </c>
    </row>
    <row r="1979" spans="1:30" s="170" customFormat="1" ht="20.399999999999999">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154"/>
        <v/>
      </c>
      <c r="T1979" s="155" t="str">
        <f ca="1">IF(B1979="","",IF(ISERROR(MATCH($J1979,SorP!$B$1:$B$6226,0)),"",INDIRECT("'SorP'!$A$"&amp;MATCH($S1979&amp;$J1979,SorP!C:C,0))))</f>
        <v/>
      </c>
      <c r="U1979" s="168"/>
      <c r="V1979" s="169" t="e">
        <f>IF(C1979="",NA(),MATCH($B1979&amp;$C1979,'Smelter Look-up'!$J:$J,0))</f>
        <v>#N/A</v>
      </c>
      <c r="X1979" s="170">
        <f t="shared" ca="1" si="153"/>
        <v>0</v>
      </c>
      <c r="AB1979" s="313" t="str">
        <f t="shared" si="155"/>
        <v/>
      </c>
      <c r="AC1979" s="170" t="str">
        <f t="shared" si="156"/>
        <v/>
      </c>
      <c r="AD1979" s="170" t="str">
        <f t="shared" si="157"/>
        <v/>
      </c>
    </row>
    <row r="1980" spans="1:30" s="170" customFormat="1" ht="20.399999999999999">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154"/>
        <v/>
      </c>
      <c r="T1980" s="155" t="str">
        <f ca="1">IF(B1980="","",IF(ISERROR(MATCH($J1980,SorP!$B$1:$B$6226,0)),"",INDIRECT("'SorP'!$A$"&amp;MATCH($S1980&amp;$J1980,SorP!C:C,0))))</f>
        <v/>
      </c>
      <c r="U1980" s="168"/>
      <c r="V1980" s="169" t="e">
        <f>IF(C1980="",NA(),MATCH($B1980&amp;$C1980,'Smelter Look-up'!$J:$J,0))</f>
        <v>#N/A</v>
      </c>
      <c r="X1980" s="170">
        <f t="shared" ca="1" si="153"/>
        <v>0</v>
      </c>
      <c r="AB1980" s="313" t="str">
        <f t="shared" si="155"/>
        <v/>
      </c>
      <c r="AC1980" s="170" t="str">
        <f t="shared" si="156"/>
        <v/>
      </c>
      <c r="AD1980" s="170" t="str">
        <f t="shared" si="157"/>
        <v/>
      </c>
    </row>
    <row r="1981" spans="1:30" s="170" customFormat="1" ht="20.399999999999999">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154"/>
        <v/>
      </c>
      <c r="T1981" s="155" t="str">
        <f ca="1">IF(B1981="","",IF(ISERROR(MATCH($J1981,SorP!$B$1:$B$6226,0)),"",INDIRECT("'SorP'!$A$"&amp;MATCH($S1981&amp;$J1981,SorP!C:C,0))))</f>
        <v/>
      </c>
      <c r="U1981" s="168"/>
      <c r="V1981" s="169" t="e">
        <f>IF(C1981="",NA(),MATCH($B1981&amp;$C1981,'Smelter Look-up'!$J:$J,0))</f>
        <v>#N/A</v>
      </c>
      <c r="X1981" s="170">
        <f t="shared" ca="1" si="153"/>
        <v>0</v>
      </c>
      <c r="AB1981" s="313" t="str">
        <f t="shared" si="155"/>
        <v/>
      </c>
      <c r="AC1981" s="170" t="str">
        <f t="shared" si="156"/>
        <v/>
      </c>
      <c r="AD1981" s="170" t="str">
        <f t="shared" si="157"/>
        <v/>
      </c>
    </row>
    <row r="1982" spans="1:30" s="170" customFormat="1" ht="20.399999999999999">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154"/>
        <v/>
      </c>
      <c r="T1982" s="155" t="str">
        <f ca="1">IF(B1982="","",IF(ISERROR(MATCH($J1982,SorP!$B$1:$B$6226,0)),"",INDIRECT("'SorP'!$A$"&amp;MATCH($S1982&amp;$J1982,SorP!C:C,0))))</f>
        <v/>
      </c>
      <c r="U1982" s="168"/>
      <c r="V1982" s="169" t="e">
        <f>IF(C1982="",NA(),MATCH($B1982&amp;$C1982,'Smelter Look-up'!$J:$J,0))</f>
        <v>#N/A</v>
      </c>
      <c r="X1982" s="170">
        <f t="shared" ca="1" si="153"/>
        <v>0</v>
      </c>
      <c r="AB1982" s="313" t="str">
        <f t="shared" si="155"/>
        <v/>
      </c>
      <c r="AC1982" s="170" t="str">
        <f t="shared" si="156"/>
        <v/>
      </c>
      <c r="AD1982" s="170" t="str">
        <f t="shared" si="157"/>
        <v/>
      </c>
    </row>
    <row r="1983" spans="1:30" s="170" customFormat="1" ht="20.399999999999999">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154"/>
        <v/>
      </c>
      <c r="T1983" s="155" t="str">
        <f ca="1">IF(B1983="","",IF(ISERROR(MATCH($J1983,SorP!$B$1:$B$6226,0)),"",INDIRECT("'SorP'!$A$"&amp;MATCH($S1983&amp;$J1983,SorP!C:C,0))))</f>
        <v/>
      </c>
      <c r="U1983" s="168"/>
      <c r="V1983" s="169" t="e">
        <f>IF(C1983="",NA(),MATCH($B1983&amp;$C1983,'Smelter Look-up'!$J:$J,0))</f>
        <v>#N/A</v>
      </c>
      <c r="X1983" s="170">
        <f t="shared" ref="X1983:X2046" ca="1" si="158">IF(AND(C1983="Smelter not listed",OR(LEN(D1983)=0,LEN(E1983)=0)),1,0)</f>
        <v>0</v>
      </c>
      <c r="AB1983" s="313" t="str">
        <f t="shared" si="155"/>
        <v/>
      </c>
      <c r="AC1983" s="170" t="str">
        <f t="shared" si="156"/>
        <v/>
      </c>
      <c r="AD1983" s="170" t="str">
        <f t="shared" si="157"/>
        <v/>
      </c>
    </row>
    <row r="1984" spans="1:30" s="170" customFormat="1" ht="20.399999999999999">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ref="S1984:S2047" ca="1" si="159">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158"/>
        <v>0</v>
      </c>
      <c r="AB1984" s="313" t="str">
        <f t="shared" si="155"/>
        <v/>
      </c>
      <c r="AC1984" s="170" t="str">
        <f t="shared" si="156"/>
        <v/>
      </c>
      <c r="AD1984" s="170" t="str">
        <f t="shared" si="157"/>
        <v/>
      </c>
    </row>
    <row r="1985" spans="1:30" s="170" customFormat="1" ht="20.399999999999999">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159"/>
        <v/>
      </c>
      <c r="T1985" s="155" t="str">
        <f ca="1">IF(B1985="","",IF(ISERROR(MATCH($J1985,SorP!$B$1:$B$6226,0)),"",INDIRECT("'SorP'!$A$"&amp;MATCH($S1985&amp;$J1985,SorP!C:C,0))))</f>
        <v/>
      </c>
      <c r="U1985" s="168"/>
      <c r="V1985" s="169" t="e">
        <f>IF(C1985="",NA(),MATCH($B1985&amp;$C1985,'Smelter Look-up'!$J:$J,0))</f>
        <v>#N/A</v>
      </c>
      <c r="X1985" s="170">
        <f t="shared" ca="1" si="158"/>
        <v>0</v>
      </c>
      <c r="AB1985" s="313" t="str">
        <f t="shared" si="155"/>
        <v/>
      </c>
      <c r="AC1985" s="170" t="str">
        <f t="shared" si="156"/>
        <v/>
      </c>
      <c r="AD1985" s="170" t="str">
        <f t="shared" si="157"/>
        <v/>
      </c>
    </row>
    <row r="1986" spans="1:30" s="170" customFormat="1" ht="20.399999999999999">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159"/>
        <v/>
      </c>
      <c r="T1986" s="155" t="str">
        <f ca="1">IF(B1986="","",IF(ISERROR(MATCH($J1986,SorP!$B$1:$B$6226,0)),"",INDIRECT("'SorP'!$A$"&amp;MATCH($S1986&amp;$J1986,SorP!C:C,0))))</f>
        <v/>
      </c>
      <c r="U1986" s="168"/>
      <c r="V1986" s="169" t="e">
        <f>IF(C1986="",NA(),MATCH($B1986&amp;$C1986,'Smelter Look-up'!$J:$J,0))</f>
        <v>#N/A</v>
      </c>
      <c r="X1986" s="170">
        <f t="shared" ca="1" si="158"/>
        <v>0</v>
      </c>
      <c r="AB1986" s="313" t="str">
        <f t="shared" si="155"/>
        <v/>
      </c>
      <c r="AC1986" s="170" t="str">
        <f t="shared" si="156"/>
        <v/>
      </c>
      <c r="AD1986" s="170" t="str">
        <f t="shared" si="157"/>
        <v/>
      </c>
    </row>
    <row r="1987" spans="1:30" s="170" customFormat="1" ht="20.399999999999999">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159"/>
        <v/>
      </c>
      <c r="T1987" s="155" t="str">
        <f ca="1">IF(B1987="","",IF(ISERROR(MATCH($J1987,SorP!$B$1:$B$6226,0)),"",INDIRECT("'SorP'!$A$"&amp;MATCH($S1987&amp;$J1987,SorP!C:C,0))))</f>
        <v/>
      </c>
      <c r="U1987" s="168"/>
      <c r="V1987" s="169" t="e">
        <f>IF(C1987="",NA(),MATCH($B1987&amp;$C1987,'Smelter Look-up'!$J:$J,0))</f>
        <v>#N/A</v>
      </c>
      <c r="X1987" s="170">
        <f t="shared" ca="1" si="158"/>
        <v>0</v>
      </c>
      <c r="AB1987" s="313" t="str">
        <f t="shared" si="155"/>
        <v/>
      </c>
      <c r="AC1987" s="170" t="str">
        <f t="shared" si="156"/>
        <v/>
      </c>
      <c r="AD1987" s="170" t="str">
        <f t="shared" si="157"/>
        <v/>
      </c>
    </row>
    <row r="1988" spans="1:30" s="170" customFormat="1" ht="20.399999999999999">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159"/>
        <v/>
      </c>
      <c r="T1988" s="155" t="str">
        <f ca="1">IF(B1988="","",IF(ISERROR(MATCH($J1988,SorP!$B$1:$B$6226,0)),"",INDIRECT("'SorP'!$A$"&amp;MATCH($S1988&amp;$J1988,SorP!C:C,0))))</f>
        <v/>
      </c>
      <c r="U1988" s="168"/>
      <c r="V1988" s="169" t="e">
        <f>IF(C1988="",NA(),MATCH($B1988&amp;$C1988,'Smelter Look-up'!$J:$J,0))</f>
        <v>#N/A</v>
      </c>
      <c r="X1988" s="170">
        <f t="shared" ca="1" si="158"/>
        <v>0</v>
      </c>
      <c r="AB1988" s="313" t="str">
        <f t="shared" si="155"/>
        <v/>
      </c>
      <c r="AC1988" s="170" t="str">
        <f t="shared" si="156"/>
        <v/>
      </c>
      <c r="AD1988" s="170" t="str">
        <f t="shared" si="157"/>
        <v/>
      </c>
    </row>
    <row r="1989" spans="1:30" s="170" customFormat="1" ht="20.399999999999999">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159"/>
        <v/>
      </c>
      <c r="T1989" s="155" t="str">
        <f ca="1">IF(B1989="","",IF(ISERROR(MATCH($J1989,SorP!$B$1:$B$6226,0)),"",INDIRECT("'SorP'!$A$"&amp;MATCH($S1989&amp;$J1989,SorP!C:C,0))))</f>
        <v/>
      </c>
      <c r="U1989" s="168"/>
      <c r="V1989" s="169" t="e">
        <f>IF(C1989="",NA(),MATCH($B1989&amp;$C1989,'Smelter Look-up'!$J:$J,0))</f>
        <v>#N/A</v>
      </c>
      <c r="X1989" s="170">
        <f t="shared" ca="1" si="158"/>
        <v>0</v>
      </c>
      <c r="AB1989" s="313" t="str">
        <f t="shared" si="155"/>
        <v/>
      </c>
      <c r="AC1989" s="170" t="str">
        <f t="shared" si="156"/>
        <v/>
      </c>
      <c r="AD1989" s="170" t="str">
        <f t="shared" si="157"/>
        <v/>
      </c>
    </row>
    <row r="1990" spans="1:30" s="170" customFormat="1" ht="20.399999999999999">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159"/>
        <v/>
      </c>
      <c r="T1990" s="155" t="str">
        <f ca="1">IF(B1990="","",IF(ISERROR(MATCH($J1990,SorP!$B$1:$B$6226,0)),"",INDIRECT("'SorP'!$A$"&amp;MATCH($S1990&amp;$J1990,SorP!C:C,0))))</f>
        <v/>
      </c>
      <c r="U1990" s="168"/>
      <c r="V1990" s="169" t="e">
        <f>IF(C1990="",NA(),MATCH($B1990&amp;$C1990,'Smelter Look-up'!$J:$J,0))</f>
        <v>#N/A</v>
      </c>
      <c r="X1990" s="170">
        <f t="shared" ca="1" si="158"/>
        <v>0</v>
      </c>
      <c r="AB1990" s="313" t="str">
        <f t="shared" ref="AB1990:AB2053" si="160">IF(C1990="","",B1990)</f>
        <v/>
      </c>
      <c r="AC1990" s="170" t="str">
        <f t="shared" ref="AC1990:AC2053" si="161">B1990</f>
        <v/>
      </c>
      <c r="AD1990" s="170" t="str">
        <f t="shared" ref="AD1990:AD2053" si="162">IF(C1990="Smelter not listed",D1990,C1990)</f>
        <v/>
      </c>
    </row>
    <row r="1991" spans="1:30" s="170" customFormat="1" ht="20.399999999999999">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159"/>
        <v/>
      </c>
      <c r="T1991" s="155" t="str">
        <f ca="1">IF(B1991="","",IF(ISERROR(MATCH($J1991,SorP!$B$1:$B$6226,0)),"",INDIRECT("'SorP'!$A$"&amp;MATCH($S1991&amp;$J1991,SorP!C:C,0))))</f>
        <v/>
      </c>
      <c r="U1991" s="168"/>
      <c r="V1991" s="169" t="e">
        <f>IF(C1991="",NA(),MATCH($B1991&amp;$C1991,'Smelter Look-up'!$J:$J,0))</f>
        <v>#N/A</v>
      </c>
      <c r="X1991" s="170">
        <f t="shared" ca="1" si="158"/>
        <v>0</v>
      </c>
      <c r="AB1991" s="313" t="str">
        <f t="shared" si="160"/>
        <v/>
      </c>
      <c r="AC1991" s="170" t="str">
        <f t="shared" si="161"/>
        <v/>
      </c>
      <c r="AD1991" s="170" t="str">
        <f t="shared" si="162"/>
        <v/>
      </c>
    </row>
    <row r="1992" spans="1:30" s="170" customFormat="1" ht="20.399999999999999">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159"/>
        <v/>
      </c>
      <c r="T1992" s="155" t="str">
        <f ca="1">IF(B1992="","",IF(ISERROR(MATCH($J1992,SorP!$B$1:$B$6226,0)),"",INDIRECT("'SorP'!$A$"&amp;MATCH($S1992&amp;$J1992,SorP!C:C,0))))</f>
        <v/>
      </c>
      <c r="U1992" s="168"/>
      <c r="V1992" s="169" t="e">
        <f>IF(C1992="",NA(),MATCH($B1992&amp;$C1992,'Smelter Look-up'!$J:$J,0))</f>
        <v>#N/A</v>
      </c>
      <c r="X1992" s="170">
        <f t="shared" ca="1" si="158"/>
        <v>0</v>
      </c>
      <c r="AB1992" s="313" t="str">
        <f t="shared" si="160"/>
        <v/>
      </c>
      <c r="AC1992" s="170" t="str">
        <f t="shared" si="161"/>
        <v/>
      </c>
      <c r="AD1992" s="170" t="str">
        <f t="shared" si="162"/>
        <v/>
      </c>
    </row>
    <row r="1993" spans="1:30" s="170" customFormat="1" ht="20.399999999999999">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159"/>
        <v/>
      </c>
      <c r="T1993" s="155" t="str">
        <f ca="1">IF(B1993="","",IF(ISERROR(MATCH($J1993,SorP!$B$1:$B$6226,0)),"",INDIRECT("'SorP'!$A$"&amp;MATCH($S1993&amp;$J1993,SorP!C:C,0))))</f>
        <v/>
      </c>
      <c r="U1993" s="168"/>
      <c r="V1993" s="169" t="e">
        <f>IF(C1993="",NA(),MATCH($B1993&amp;$C1993,'Smelter Look-up'!$J:$J,0))</f>
        <v>#N/A</v>
      </c>
      <c r="X1993" s="170">
        <f t="shared" ca="1" si="158"/>
        <v>0</v>
      </c>
      <c r="AB1993" s="313" t="str">
        <f t="shared" si="160"/>
        <v/>
      </c>
      <c r="AC1993" s="170" t="str">
        <f t="shared" si="161"/>
        <v/>
      </c>
      <c r="AD1993" s="170" t="str">
        <f t="shared" si="162"/>
        <v/>
      </c>
    </row>
    <row r="1994" spans="1:30" s="170" customFormat="1" ht="20.399999999999999">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159"/>
        <v/>
      </c>
      <c r="T1994" s="155" t="str">
        <f ca="1">IF(B1994="","",IF(ISERROR(MATCH($J1994,SorP!$B$1:$B$6226,0)),"",INDIRECT("'SorP'!$A$"&amp;MATCH($S1994&amp;$J1994,SorP!C:C,0))))</f>
        <v/>
      </c>
      <c r="U1994" s="168"/>
      <c r="V1994" s="169" t="e">
        <f>IF(C1994="",NA(),MATCH($B1994&amp;$C1994,'Smelter Look-up'!$J:$J,0))</f>
        <v>#N/A</v>
      </c>
      <c r="X1994" s="170">
        <f t="shared" ca="1" si="158"/>
        <v>0</v>
      </c>
      <c r="AB1994" s="313" t="str">
        <f t="shared" si="160"/>
        <v/>
      </c>
      <c r="AC1994" s="170" t="str">
        <f t="shared" si="161"/>
        <v/>
      </c>
      <c r="AD1994" s="170" t="str">
        <f t="shared" si="162"/>
        <v/>
      </c>
    </row>
    <row r="1995" spans="1:30" s="170" customFormat="1" ht="20.399999999999999">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159"/>
        <v/>
      </c>
      <c r="T1995" s="155" t="str">
        <f ca="1">IF(B1995="","",IF(ISERROR(MATCH($J1995,SorP!$B$1:$B$6226,0)),"",INDIRECT("'SorP'!$A$"&amp;MATCH($S1995&amp;$J1995,SorP!C:C,0))))</f>
        <v/>
      </c>
      <c r="U1995" s="168"/>
      <c r="V1995" s="169" t="e">
        <f>IF(C1995="",NA(),MATCH($B1995&amp;$C1995,'Smelter Look-up'!$J:$J,0))</f>
        <v>#N/A</v>
      </c>
      <c r="X1995" s="170">
        <f t="shared" ca="1" si="158"/>
        <v>0</v>
      </c>
      <c r="AB1995" s="313" t="str">
        <f t="shared" si="160"/>
        <v/>
      </c>
      <c r="AC1995" s="170" t="str">
        <f t="shared" si="161"/>
        <v/>
      </c>
      <c r="AD1995" s="170" t="str">
        <f t="shared" si="162"/>
        <v/>
      </c>
    </row>
    <row r="1996" spans="1:30" s="170" customFormat="1" ht="20.399999999999999">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159"/>
        <v/>
      </c>
      <c r="T1996" s="155" t="str">
        <f ca="1">IF(B1996="","",IF(ISERROR(MATCH($J1996,SorP!$B$1:$B$6226,0)),"",INDIRECT("'SorP'!$A$"&amp;MATCH($S1996&amp;$J1996,SorP!C:C,0))))</f>
        <v/>
      </c>
      <c r="U1996" s="168"/>
      <c r="V1996" s="169" t="e">
        <f>IF(C1996="",NA(),MATCH($B1996&amp;$C1996,'Smelter Look-up'!$J:$J,0))</f>
        <v>#N/A</v>
      </c>
      <c r="X1996" s="170">
        <f t="shared" ca="1" si="158"/>
        <v>0</v>
      </c>
      <c r="AB1996" s="313" t="str">
        <f t="shared" si="160"/>
        <v/>
      </c>
      <c r="AC1996" s="170" t="str">
        <f t="shared" si="161"/>
        <v/>
      </c>
      <c r="AD1996" s="170" t="str">
        <f t="shared" si="162"/>
        <v/>
      </c>
    </row>
    <row r="1997" spans="1:30" s="170" customFormat="1" ht="20.399999999999999">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159"/>
        <v/>
      </c>
      <c r="T1997" s="155" t="str">
        <f ca="1">IF(B1997="","",IF(ISERROR(MATCH($J1997,SorP!$B$1:$B$6226,0)),"",INDIRECT("'SorP'!$A$"&amp;MATCH($S1997&amp;$J1997,SorP!C:C,0))))</f>
        <v/>
      </c>
      <c r="U1997" s="168"/>
      <c r="V1997" s="169" t="e">
        <f>IF(C1997="",NA(),MATCH($B1997&amp;$C1997,'Smelter Look-up'!$J:$J,0))</f>
        <v>#N/A</v>
      </c>
      <c r="X1997" s="170">
        <f t="shared" ca="1" si="158"/>
        <v>0</v>
      </c>
      <c r="AB1997" s="313" t="str">
        <f t="shared" si="160"/>
        <v/>
      </c>
      <c r="AC1997" s="170" t="str">
        <f t="shared" si="161"/>
        <v/>
      </c>
      <c r="AD1997" s="170" t="str">
        <f t="shared" si="162"/>
        <v/>
      </c>
    </row>
    <row r="1998" spans="1:30" s="170" customFormat="1" ht="20.399999999999999">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159"/>
        <v/>
      </c>
      <c r="T1998" s="155" t="str">
        <f ca="1">IF(B1998="","",IF(ISERROR(MATCH($J1998,SorP!$B$1:$B$6226,0)),"",INDIRECT("'SorP'!$A$"&amp;MATCH($S1998&amp;$J1998,SorP!C:C,0))))</f>
        <v/>
      </c>
      <c r="U1998" s="168"/>
      <c r="V1998" s="169" t="e">
        <f>IF(C1998="",NA(),MATCH($B1998&amp;$C1998,'Smelter Look-up'!$J:$J,0))</f>
        <v>#N/A</v>
      </c>
      <c r="X1998" s="170">
        <f t="shared" ca="1" si="158"/>
        <v>0</v>
      </c>
      <c r="AB1998" s="313" t="str">
        <f t="shared" si="160"/>
        <v/>
      </c>
      <c r="AC1998" s="170" t="str">
        <f t="shared" si="161"/>
        <v/>
      </c>
      <c r="AD1998" s="170" t="str">
        <f t="shared" si="162"/>
        <v/>
      </c>
    </row>
    <row r="1999" spans="1:30" s="170" customFormat="1" ht="20.399999999999999">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159"/>
        <v/>
      </c>
      <c r="T1999" s="155" t="str">
        <f ca="1">IF(B1999="","",IF(ISERROR(MATCH($J1999,SorP!$B$1:$B$6226,0)),"",INDIRECT("'SorP'!$A$"&amp;MATCH($S1999&amp;$J1999,SorP!C:C,0))))</f>
        <v/>
      </c>
      <c r="U1999" s="168"/>
      <c r="V1999" s="169" t="e">
        <f>IF(C1999="",NA(),MATCH($B1999&amp;$C1999,'Smelter Look-up'!$J:$J,0))</f>
        <v>#N/A</v>
      </c>
      <c r="X1999" s="170">
        <f t="shared" ca="1" si="158"/>
        <v>0</v>
      </c>
      <c r="AB1999" s="313" t="str">
        <f t="shared" si="160"/>
        <v/>
      </c>
      <c r="AC1999" s="170" t="str">
        <f t="shared" si="161"/>
        <v/>
      </c>
      <c r="AD1999" s="170" t="str">
        <f t="shared" si="162"/>
        <v/>
      </c>
    </row>
    <row r="2000" spans="1:30" s="170" customFormat="1" ht="20.399999999999999">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159"/>
        <v/>
      </c>
      <c r="T2000" s="155" t="str">
        <f ca="1">IF(B2000="","",IF(ISERROR(MATCH($J2000,SorP!$B$1:$B$6226,0)),"",INDIRECT("'SorP'!$A$"&amp;MATCH($S2000&amp;$J2000,SorP!C:C,0))))</f>
        <v/>
      </c>
      <c r="U2000" s="168"/>
      <c r="V2000" s="169" t="e">
        <f>IF(C2000="",NA(),MATCH($B2000&amp;$C2000,'Smelter Look-up'!$J:$J,0))</f>
        <v>#N/A</v>
      </c>
      <c r="X2000" s="170">
        <f t="shared" ca="1" si="158"/>
        <v>0</v>
      </c>
      <c r="AB2000" s="313" t="str">
        <f t="shared" si="160"/>
        <v/>
      </c>
      <c r="AC2000" s="170" t="str">
        <f t="shared" si="161"/>
        <v/>
      </c>
      <c r="AD2000" s="170" t="str">
        <f t="shared" si="162"/>
        <v/>
      </c>
    </row>
    <row r="2001" spans="1:30" s="170" customFormat="1" ht="20.399999999999999">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159"/>
        <v/>
      </c>
      <c r="T2001" s="155" t="str">
        <f ca="1">IF(B2001="","",IF(ISERROR(MATCH($J2001,SorP!$B$1:$B$6226,0)),"",INDIRECT("'SorP'!$A$"&amp;MATCH($S2001&amp;$J2001,SorP!C:C,0))))</f>
        <v/>
      </c>
      <c r="U2001" s="168"/>
      <c r="V2001" s="169" t="e">
        <f>IF(C2001="",NA(),MATCH($B2001&amp;$C2001,'Smelter Look-up'!$J:$J,0))</f>
        <v>#N/A</v>
      </c>
      <c r="X2001" s="170">
        <f t="shared" ca="1" si="158"/>
        <v>0</v>
      </c>
      <c r="AB2001" s="313" t="str">
        <f t="shared" si="160"/>
        <v/>
      </c>
      <c r="AC2001" s="170" t="str">
        <f t="shared" si="161"/>
        <v/>
      </c>
      <c r="AD2001" s="170" t="str">
        <f t="shared" si="162"/>
        <v/>
      </c>
    </row>
    <row r="2002" spans="1:30" s="170" customFormat="1" ht="20.399999999999999">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159"/>
        <v/>
      </c>
      <c r="T2002" s="155" t="str">
        <f ca="1">IF(B2002="","",IF(ISERROR(MATCH($J2002,SorP!$B$1:$B$6226,0)),"",INDIRECT("'SorP'!$A$"&amp;MATCH($S2002&amp;$J2002,SorP!C:C,0))))</f>
        <v/>
      </c>
      <c r="U2002" s="168"/>
      <c r="V2002" s="169" t="e">
        <f>IF(C2002="",NA(),MATCH($B2002&amp;$C2002,'Smelter Look-up'!$J:$J,0))</f>
        <v>#N/A</v>
      </c>
      <c r="X2002" s="170">
        <f t="shared" ca="1" si="158"/>
        <v>0</v>
      </c>
      <c r="AB2002" s="313" t="str">
        <f t="shared" si="160"/>
        <v/>
      </c>
      <c r="AC2002" s="170" t="str">
        <f t="shared" si="161"/>
        <v/>
      </c>
      <c r="AD2002" s="170" t="str">
        <f t="shared" si="162"/>
        <v/>
      </c>
    </row>
    <row r="2003" spans="1:30" s="170" customFormat="1" ht="20.399999999999999">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159"/>
        <v/>
      </c>
      <c r="T2003" s="155" t="str">
        <f ca="1">IF(B2003="","",IF(ISERROR(MATCH($J2003,SorP!$B$1:$B$6226,0)),"",INDIRECT("'SorP'!$A$"&amp;MATCH($S2003&amp;$J2003,SorP!C:C,0))))</f>
        <v/>
      </c>
      <c r="U2003" s="168"/>
      <c r="V2003" s="169" t="e">
        <f>IF(C2003="",NA(),MATCH($B2003&amp;$C2003,'Smelter Look-up'!$J:$J,0))</f>
        <v>#N/A</v>
      </c>
      <c r="X2003" s="170">
        <f t="shared" ca="1" si="158"/>
        <v>0</v>
      </c>
      <c r="AB2003" s="313" t="str">
        <f t="shared" si="160"/>
        <v/>
      </c>
      <c r="AC2003" s="170" t="str">
        <f t="shared" si="161"/>
        <v/>
      </c>
      <c r="AD2003" s="170" t="str">
        <f t="shared" si="162"/>
        <v/>
      </c>
    </row>
    <row r="2004" spans="1:30" s="170" customFormat="1" ht="20.399999999999999">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159"/>
        <v/>
      </c>
      <c r="T2004" s="155" t="str">
        <f ca="1">IF(B2004="","",IF(ISERROR(MATCH($J2004,SorP!$B$1:$B$6226,0)),"",INDIRECT("'SorP'!$A$"&amp;MATCH($S2004&amp;$J2004,SorP!C:C,0))))</f>
        <v/>
      </c>
      <c r="U2004" s="168"/>
      <c r="V2004" s="169" t="e">
        <f>IF(C2004="",NA(),MATCH($B2004&amp;$C2004,'Smelter Look-up'!$J:$J,0))</f>
        <v>#N/A</v>
      </c>
      <c r="X2004" s="170">
        <f t="shared" ca="1" si="158"/>
        <v>0</v>
      </c>
      <c r="AB2004" s="313" t="str">
        <f t="shared" si="160"/>
        <v/>
      </c>
      <c r="AC2004" s="170" t="str">
        <f t="shared" si="161"/>
        <v/>
      </c>
      <c r="AD2004" s="170" t="str">
        <f t="shared" si="162"/>
        <v/>
      </c>
    </row>
    <row r="2005" spans="1:30" s="170" customFormat="1" ht="20.399999999999999">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159"/>
        <v/>
      </c>
      <c r="T2005" s="155" t="str">
        <f ca="1">IF(B2005="","",IF(ISERROR(MATCH($J2005,SorP!$B$1:$B$6226,0)),"",INDIRECT("'SorP'!$A$"&amp;MATCH($S2005&amp;$J2005,SorP!C:C,0))))</f>
        <v/>
      </c>
      <c r="U2005" s="168"/>
      <c r="V2005" s="169" t="e">
        <f>IF(C2005="",NA(),MATCH($B2005&amp;$C2005,'Smelter Look-up'!$J:$J,0))</f>
        <v>#N/A</v>
      </c>
      <c r="X2005" s="170">
        <f t="shared" ca="1" si="158"/>
        <v>0</v>
      </c>
      <c r="AB2005" s="313" t="str">
        <f t="shared" si="160"/>
        <v/>
      </c>
      <c r="AC2005" s="170" t="str">
        <f t="shared" si="161"/>
        <v/>
      </c>
      <c r="AD2005" s="170" t="str">
        <f t="shared" si="162"/>
        <v/>
      </c>
    </row>
    <row r="2006" spans="1:30" s="170" customFormat="1" ht="20.399999999999999">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159"/>
        <v/>
      </c>
      <c r="T2006" s="155" t="str">
        <f ca="1">IF(B2006="","",IF(ISERROR(MATCH($J2006,SorP!$B$1:$B$6226,0)),"",INDIRECT("'SorP'!$A$"&amp;MATCH($S2006&amp;$J2006,SorP!C:C,0))))</f>
        <v/>
      </c>
      <c r="U2006" s="168"/>
      <c r="V2006" s="169" t="e">
        <f>IF(C2006="",NA(),MATCH($B2006&amp;$C2006,'Smelter Look-up'!$J:$J,0))</f>
        <v>#N/A</v>
      </c>
      <c r="X2006" s="170">
        <f t="shared" ca="1" si="158"/>
        <v>0</v>
      </c>
      <c r="AB2006" s="313" t="str">
        <f t="shared" si="160"/>
        <v/>
      </c>
      <c r="AC2006" s="170" t="str">
        <f t="shared" si="161"/>
        <v/>
      </c>
      <c r="AD2006" s="170" t="str">
        <f t="shared" si="162"/>
        <v/>
      </c>
    </row>
    <row r="2007" spans="1:30" s="170" customFormat="1" ht="20.399999999999999">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159"/>
        <v/>
      </c>
      <c r="T2007" s="155" t="str">
        <f ca="1">IF(B2007="","",IF(ISERROR(MATCH($J2007,SorP!$B$1:$B$6226,0)),"",INDIRECT("'SorP'!$A$"&amp;MATCH($S2007&amp;$J2007,SorP!C:C,0))))</f>
        <v/>
      </c>
      <c r="U2007" s="168"/>
      <c r="V2007" s="169" t="e">
        <f>IF(C2007="",NA(),MATCH($B2007&amp;$C2007,'Smelter Look-up'!$J:$J,0))</f>
        <v>#N/A</v>
      </c>
      <c r="X2007" s="170">
        <f t="shared" ca="1" si="158"/>
        <v>0</v>
      </c>
      <c r="AB2007" s="313" t="str">
        <f t="shared" si="160"/>
        <v/>
      </c>
      <c r="AC2007" s="170" t="str">
        <f t="shared" si="161"/>
        <v/>
      </c>
      <c r="AD2007" s="170" t="str">
        <f t="shared" si="162"/>
        <v/>
      </c>
    </row>
    <row r="2008" spans="1:30" s="170" customFormat="1" ht="20.399999999999999">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159"/>
        <v/>
      </c>
      <c r="T2008" s="155" t="str">
        <f ca="1">IF(B2008="","",IF(ISERROR(MATCH($J2008,SorP!$B$1:$B$6226,0)),"",INDIRECT("'SorP'!$A$"&amp;MATCH($S2008&amp;$J2008,SorP!C:C,0))))</f>
        <v/>
      </c>
      <c r="U2008" s="168"/>
      <c r="V2008" s="169" t="e">
        <f>IF(C2008="",NA(),MATCH($B2008&amp;$C2008,'Smelter Look-up'!$J:$J,0))</f>
        <v>#N/A</v>
      </c>
      <c r="X2008" s="170">
        <f t="shared" ca="1" si="158"/>
        <v>0</v>
      </c>
      <c r="AB2008" s="313" t="str">
        <f t="shared" si="160"/>
        <v/>
      </c>
      <c r="AC2008" s="170" t="str">
        <f t="shared" si="161"/>
        <v/>
      </c>
      <c r="AD2008" s="170" t="str">
        <f t="shared" si="162"/>
        <v/>
      </c>
    </row>
    <row r="2009" spans="1:30" s="170" customFormat="1" ht="20.399999999999999">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159"/>
        <v/>
      </c>
      <c r="T2009" s="155" t="str">
        <f ca="1">IF(B2009="","",IF(ISERROR(MATCH($J2009,SorP!$B$1:$B$6226,0)),"",INDIRECT("'SorP'!$A$"&amp;MATCH($S2009&amp;$J2009,SorP!C:C,0))))</f>
        <v/>
      </c>
      <c r="U2009" s="168"/>
      <c r="V2009" s="169" t="e">
        <f>IF(C2009="",NA(),MATCH($B2009&amp;$C2009,'Smelter Look-up'!$J:$J,0))</f>
        <v>#N/A</v>
      </c>
      <c r="X2009" s="170">
        <f t="shared" ca="1" si="158"/>
        <v>0</v>
      </c>
      <c r="AB2009" s="313" t="str">
        <f t="shared" si="160"/>
        <v/>
      </c>
      <c r="AC2009" s="170" t="str">
        <f t="shared" si="161"/>
        <v/>
      </c>
      <c r="AD2009" s="170" t="str">
        <f t="shared" si="162"/>
        <v/>
      </c>
    </row>
    <row r="2010" spans="1:30" s="170" customFormat="1" ht="20.399999999999999">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159"/>
        <v/>
      </c>
      <c r="T2010" s="155" t="str">
        <f ca="1">IF(B2010="","",IF(ISERROR(MATCH($J2010,SorP!$B$1:$B$6226,0)),"",INDIRECT("'SorP'!$A$"&amp;MATCH($S2010&amp;$J2010,SorP!C:C,0))))</f>
        <v/>
      </c>
      <c r="U2010" s="168"/>
      <c r="V2010" s="169" t="e">
        <f>IF(C2010="",NA(),MATCH($B2010&amp;$C2010,'Smelter Look-up'!$J:$J,0))</f>
        <v>#N/A</v>
      </c>
      <c r="X2010" s="170">
        <f t="shared" ca="1" si="158"/>
        <v>0</v>
      </c>
      <c r="AB2010" s="313" t="str">
        <f t="shared" si="160"/>
        <v/>
      </c>
      <c r="AC2010" s="170" t="str">
        <f t="shared" si="161"/>
        <v/>
      </c>
      <c r="AD2010" s="170" t="str">
        <f t="shared" si="162"/>
        <v/>
      </c>
    </row>
    <row r="2011" spans="1:30" s="170" customFormat="1" ht="20.399999999999999">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159"/>
        <v/>
      </c>
      <c r="T2011" s="155" t="str">
        <f ca="1">IF(B2011="","",IF(ISERROR(MATCH($J2011,SorP!$B$1:$B$6226,0)),"",INDIRECT("'SorP'!$A$"&amp;MATCH($S2011&amp;$J2011,SorP!C:C,0))))</f>
        <v/>
      </c>
      <c r="U2011" s="168"/>
      <c r="V2011" s="169" t="e">
        <f>IF(C2011="",NA(),MATCH($B2011&amp;$C2011,'Smelter Look-up'!$J:$J,0))</f>
        <v>#N/A</v>
      </c>
      <c r="X2011" s="170">
        <f t="shared" ca="1" si="158"/>
        <v>0</v>
      </c>
      <c r="AB2011" s="313" t="str">
        <f t="shared" si="160"/>
        <v/>
      </c>
      <c r="AC2011" s="170" t="str">
        <f t="shared" si="161"/>
        <v/>
      </c>
      <c r="AD2011" s="170" t="str">
        <f t="shared" si="162"/>
        <v/>
      </c>
    </row>
    <row r="2012" spans="1:30" s="170" customFormat="1" ht="20.399999999999999">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159"/>
        <v/>
      </c>
      <c r="T2012" s="155" t="str">
        <f ca="1">IF(B2012="","",IF(ISERROR(MATCH($J2012,SorP!$B$1:$B$6226,0)),"",INDIRECT("'SorP'!$A$"&amp;MATCH($S2012&amp;$J2012,SorP!C:C,0))))</f>
        <v/>
      </c>
      <c r="U2012" s="168"/>
      <c r="V2012" s="169" t="e">
        <f>IF(C2012="",NA(),MATCH($B2012&amp;$C2012,'Smelter Look-up'!$J:$J,0))</f>
        <v>#N/A</v>
      </c>
      <c r="X2012" s="170">
        <f t="shared" ca="1" si="158"/>
        <v>0</v>
      </c>
      <c r="AB2012" s="313" t="str">
        <f t="shared" si="160"/>
        <v/>
      </c>
      <c r="AC2012" s="170" t="str">
        <f t="shared" si="161"/>
        <v/>
      </c>
      <c r="AD2012" s="170" t="str">
        <f t="shared" si="162"/>
        <v/>
      </c>
    </row>
    <row r="2013" spans="1:30" s="170" customFormat="1" ht="20.399999999999999">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159"/>
        <v/>
      </c>
      <c r="T2013" s="155" t="str">
        <f ca="1">IF(B2013="","",IF(ISERROR(MATCH($J2013,SorP!$B$1:$B$6226,0)),"",INDIRECT("'SorP'!$A$"&amp;MATCH($S2013&amp;$J2013,SorP!C:C,0))))</f>
        <v/>
      </c>
      <c r="U2013" s="168"/>
      <c r="V2013" s="169" t="e">
        <f>IF(C2013="",NA(),MATCH($B2013&amp;$C2013,'Smelter Look-up'!$J:$J,0))</f>
        <v>#N/A</v>
      </c>
      <c r="X2013" s="170">
        <f t="shared" ca="1" si="158"/>
        <v>0</v>
      </c>
      <c r="AB2013" s="313" t="str">
        <f t="shared" si="160"/>
        <v/>
      </c>
      <c r="AC2013" s="170" t="str">
        <f t="shared" si="161"/>
        <v/>
      </c>
      <c r="AD2013" s="170" t="str">
        <f t="shared" si="162"/>
        <v/>
      </c>
    </row>
    <row r="2014" spans="1:30" s="170" customFormat="1" ht="20.399999999999999">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159"/>
        <v/>
      </c>
      <c r="T2014" s="155" t="str">
        <f ca="1">IF(B2014="","",IF(ISERROR(MATCH($J2014,SorP!$B$1:$B$6226,0)),"",INDIRECT("'SorP'!$A$"&amp;MATCH($S2014&amp;$J2014,SorP!C:C,0))))</f>
        <v/>
      </c>
      <c r="U2014" s="168"/>
      <c r="V2014" s="169" t="e">
        <f>IF(C2014="",NA(),MATCH($B2014&amp;$C2014,'Smelter Look-up'!$J:$J,0))</f>
        <v>#N/A</v>
      </c>
      <c r="X2014" s="170">
        <f t="shared" ca="1" si="158"/>
        <v>0</v>
      </c>
      <c r="AB2014" s="313" t="str">
        <f t="shared" si="160"/>
        <v/>
      </c>
      <c r="AC2014" s="170" t="str">
        <f t="shared" si="161"/>
        <v/>
      </c>
      <c r="AD2014" s="170" t="str">
        <f t="shared" si="162"/>
        <v/>
      </c>
    </row>
    <row r="2015" spans="1:30" s="170" customFormat="1" ht="20.399999999999999">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159"/>
        <v/>
      </c>
      <c r="T2015" s="155" t="str">
        <f ca="1">IF(B2015="","",IF(ISERROR(MATCH($J2015,SorP!$B$1:$B$6226,0)),"",INDIRECT("'SorP'!$A$"&amp;MATCH($S2015&amp;$J2015,SorP!C:C,0))))</f>
        <v/>
      </c>
      <c r="U2015" s="168"/>
      <c r="V2015" s="169" t="e">
        <f>IF(C2015="",NA(),MATCH($B2015&amp;$C2015,'Smelter Look-up'!$J:$J,0))</f>
        <v>#N/A</v>
      </c>
      <c r="X2015" s="170">
        <f t="shared" ca="1" si="158"/>
        <v>0</v>
      </c>
      <c r="AB2015" s="313" t="str">
        <f t="shared" si="160"/>
        <v/>
      </c>
      <c r="AC2015" s="170" t="str">
        <f t="shared" si="161"/>
        <v/>
      </c>
      <c r="AD2015" s="170" t="str">
        <f t="shared" si="162"/>
        <v/>
      </c>
    </row>
    <row r="2016" spans="1:30" s="170" customFormat="1" ht="20.399999999999999">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59"/>
        <v/>
      </c>
      <c r="T2016" s="155" t="str">
        <f ca="1">IF(B2016="","",IF(ISERROR(MATCH($J2016,SorP!$B$1:$B$6226,0)),"",INDIRECT("'SorP'!$A$"&amp;MATCH($S2016&amp;$J2016,SorP!C:C,0))))</f>
        <v/>
      </c>
      <c r="U2016" s="168"/>
      <c r="V2016" s="169" t="e">
        <f>IF(C2016="",NA(),MATCH($B2016&amp;$C2016,'Smelter Look-up'!$J:$J,0))</f>
        <v>#N/A</v>
      </c>
      <c r="X2016" s="170">
        <f t="shared" ca="1" si="158"/>
        <v>0</v>
      </c>
      <c r="AB2016" s="313" t="str">
        <f t="shared" si="160"/>
        <v/>
      </c>
      <c r="AC2016" s="170" t="str">
        <f t="shared" si="161"/>
        <v/>
      </c>
      <c r="AD2016" s="170" t="str">
        <f t="shared" si="162"/>
        <v/>
      </c>
    </row>
    <row r="2017" spans="1:30" s="170" customFormat="1" ht="20.399999999999999">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59"/>
        <v/>
      </c>
      <c r="T2017" s="155" t="str">
        <f ca="1">IF(B2017="","",IF(ISERROR(MATCH($J2017,SorP!$B$1:$B$6226,0)),"",INDIRECT("'SorP'!$A$"&amp;MATCH($S2017&amp;$J2017,SorP!C:C,0))))</f>
        <v/>
      </c>
      <c r="U2017" s="168"/>
      <c r="V2017" s="169" t="e">
        <f>IF(C2017="",NA(),MATCH($B2017&amp;$C2017,'Smelter Look-up'!$J:$J,0))</f>
        <v>#N/A</v>
      </c>
      <c r="X2017" s="170">
        <f t="shared" ca="1" si="158"/>
        <v>0</v>
      </c>
      <c r="AB2017" s="313" t="str">
        <f t="shared" si="160"/>
        <v/>
      </c>
      <c r="AC2017" s="170" t="str">
        <f t="shared" si="161"/>
        <v/>
      </c>
      <c r="AD2017" s="170" t="str">
        <f t="shared" si="162"/>
        <v/>
      </c>
    </row>
    <row r="2018" spans="1:30" s="170" customFormat="1" ht="20.399999999999999">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59"/>
        <v/>
      </c>
      <c r="T2018" s="155" t="str">
        <f ca="1">IF(B2018="","",IF(ISERROR(MATCH($J2018,SorP!$B$1:$B$6226,0)),"",INDIRECT("'SorP'!$A$"&amp;MATCH($S2018&amp;$J2018,SorP!C:C,0))))</f>
        <v/>
      </c>
      <c r="U2018" s="168"/>
      <c r="V2018" s="169" t="e">
        <f>IF(C2018="",NA(),MATCH($B2018&amp;$C2018,'Smelter Look-up'!$J:$J,0))</f>
        <v>#N/A</v>
      </c>
      <c r="X2018" s="170">
        <f t="shared" ca="1" si="158"/>
        <v>0</v>
      </c>
      <c r="AB2018" s="313" t="str">
        <f t="shared" si="160"/>
        <v/>
      </c>
      <c r="AC2018" s="170" t="str">
        <f t="shared" si="161"/>
        <v/>
      </c>
      <c r="AD2018" s="170" t="str">
        <f t="shared" si="162"/>
        <v/>
      </c>
    </row>
    <row r="2019" spans="1:30" s="170" customFormat="1" ht="20.399999999999999">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59"/>
        <v/>
      </c>
      <c r="T2019" s="155" t="str">
        <f ca="1">IF(B2019="","",IF(ISERROR(MATCH($J2019,SorP!$B$1:$B$6226,0)),"",INDIRECT("'SorP'!$A$"&amp;MATCH($S2019&amp;$J2019,SorP!C:C,0))))</f>
        <v/>
      </c>
      <c r="U2019" s="168"/>
      <c r="V2019" s="169" t="e">
        <f>IF(C2019="",NA(),MATCH($B2019&amp;$C2019,'Smelter Look-up'!$J:$J,0))</f>
        <v>#N/A</v>
      </c>
      <c r="X2019" s="170">
        <f t="shared" ca="1" si="158"/>
        <v>0</v>
      </c>
      <c r="AB2019" s="313" t="str">
        <f t="shared" si="160"/>
        <v/>
      </c>
      <c r="AC2019" s="170" t="str">
        <f t="shared" si="161"/>
        <v/>
      </c>
      <c r="AD2019" s="170" t="str">
        <f t="shared" si="162"/>
        <v/>
      </c>
    </row>
    <row r="2020" spans="1:30" s="170" customFormat="1" ht="20.399999999999999">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59"/>
        <v/>
      </c>
      <c r="T2020" s="155" t="str">
        <f ca="1">IF(B2020="","",IF(ISERROR(MATCH($J2020,SorP!$B$1:$B$6226,0)),"",INDIRECT("'SorP'!$A$"&amp;MATCH($S2020&amp;$J2020,SorP!C:C,0))))</f>
        <v/>
      </c>
      <c r="U2020" s="168"/>
      <c r="V2020" s="169" t="e">
        <f>IF(C2020="",NA(),MATCH($B2020&amp;$C2020,'Smelter Look-up'!$J:$J,0))</f>
        <v>#N/A</v>
      </c>
      <c r="X2020" s="170">
        <f t="shared" ca="1" si="158"/>
        <v>0</v>
      </c>
      <c r="AB2020" s="313" t="str">
        <f t="shared" si="160"/>
        <v/>
      </c>
      <c r="AC2020" s="170" t="str">
        <f t="shared" si="161"/>
        <v/>
      </c>
      <c r="AD2020" s="170" t="str">
        <f t="shared" si="162"/>
        <v/>
      </c>
    </row>
    <row r="2021" spans="1:30" s="170" customFormat="1" ht="20.399999999999999">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59"/>
        <v/>
      </c>
      <c r="T2021" s="155" t="str">
        <f ca="1">IF(B2021="","",IF(ISERROR(MATCH($J2021,SorP!$B$1:$B$6226,0)),"",INDIRECT("'SorP'!$A$"&amp;MATCH($S2021&amp;$J2021,SorP!C:C,0))))</f>
        <v/>
      </c>
      <c r="U2021" s="168"/>
      <c r="V2021" s="169" t="e">
        <f>IF(C2021="",NA(),MATCH($B2021&amp;$C2021,'Smelter Look-up'!$J:$J,0))</f>
        <v>#N/A</v>
      </c>
      <c r="X2021" s="170">
        <f t="shared" ca="1" si="158"/>
        <v>0</v>
      </c>
      <c r="AB2021" s="313" t="str">
        <f t="shared" si="160"/>
        <v/>
      </c>
      <c r="AC2021" s="170" t="str">
        <f t="shared" si="161"/>
        <v/>
      </c>
      <c r="AD2021" s="170" t="str">
        <f t="shared" si="162"/>
        <v/>
      </c>
    </row>
    <row r="2022" spans="1:30" s="170" customFormat="1" ht="20.399999999999999">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59"/>
        <v/>
      </c>
      <c r="T2022" s="155" t="str">
        <f ca="1">IF(B2022="","",IF(ISERROR(MATCH($J2022,SorP!$B$1:$B$6226,0)),"",INDIRECT("'SorP'!$A$"&amp;MATCH($S2022&amp;$J2022,SorP!C:C,0))))</f>
        <v/>
      </c>
      <c r="U2022" s="168"/>
      <c r="V2022" s="169" t="e">
        <f>IF(C2022="",NA(),MATCH($B2022&amp;$C2022,'Smelter Look-up'!$J:$J,0))</f>
        <v>#N/A</v>
      </c>
      <c r="X2022" s="170">
        <f t="shared" ca="1" si="158"/>
        <v>0</v>
      </c>
      <c r="AB2022" s="313" t="str">
        <f t="shared" si="160"/>
        <v/>
      </c>
      <c r="AC2022" s="170" t="str">
        <f t="shared" si="161"/>
        <v/>
      </c>
      <c r="AD2022" s="170" t="str">
        <f t="shared" si="162"/>
        <v/>
      </c>
    </row>
    <row r="2023" spans="1:30" s="170" customFormat="1" ht="20.399999999999999">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59"/>
        <v/>
      </c>
      <c r="T2023" s="155" t="str">
        <f ca="1">IF(B2023="","",IF(ISERROR(MATCH($J2023,SorP!$B$1:$B$6226,0)),"",INDIRECT("'SorP'!$A$"&amp;MATCH($S2023&amp;$J2023,SorP!C:C,0))))</f>
        <v/>
      </c>
      <c r="U2023" s="168"/>
      <c r="V2023" s="169" t="e">
        <f>IF(C2023="",NA(),MATCH($B2023&amp;$C2023,'Smelter Look-up'!$J:$J,0))</f>
        <v>#N/A</v>
      </c>
      <c r="X2023" s="170">
        <f t="shared" ca="1" si="158"/>
        <v>0</v>
      </c>
      <c r="AB2023" s="313" t="str">
        <f t="shared" si="160"/>
        <v/>
      </c>
      <c r="AC2023" s="170" t="str">
        <f t="shared" si="161"/>
        <v/>
      </c>
      <c r="AD2023" s="170" t="str">
        <f t="shared" si="162"/>
        <v/>
      </c>
    </row>
    <row r="2024" spans="1:30" s="170" customFormat="1" ht="20.399999999999999">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59"/>
        <v/>
      </c>
      <c r="T2024" s="155" t="str">
        <f ca="1">IF(B2024="","",IF(ISERROR(MATCH($J2024,SorP!$B$1:$B$6226,0)),"",INDIRECT("'SorP'!$A$"&amp;MATCH($S2024&amp;$J2024,SorP!C:C,0))))</f>
        <v/>
      </c>
      <c r="U2024" s="168"/>
      <c r="V2024" s="169" t="e">
        <f>IF(C2024="",NA(),MATCH($B2024&amp;$C2024,'Smelter Look-up'!$J:$J,0))</f>
        <v>#N/A</v>
      </c>
      <c r="X2024" s="170">
        <f t="shared" ca="1" si="158"/>
        <v>0</v>
      </c>
      <c r="AB2024" s="313" t="str">
        <f t="shared" si="160"/>
        <v/>
      </c>
      <c r="AC2024" s="170" t="str">
        <f t="shared" si="161"/>
        <v/>
      </c>
      <c r="AD2024" s="170" t="str">
        <f t="shared" si="162"/>
        <v/>
      </c>
    </row>
    <row r="2025" spans="1:30" s="170" customFormat="1" ht="20.399999999999999">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59"/>
        <v/>
      </c>
      <c r="T2025" s="155" t="str">
        <f ca="1">IF(B2025="","",IF(ISERROR(MATCH($J2025,SorP!$B$1:$B$6226,0)),"",INDIRECT("'SorP'!$A$"&amp;MATCH($S2025&amp;$J2025,SorP!C:C,0))))</f>
        <v/>
      </c>
      <c r="U2025" s="168"/>
      <c r="V2025" s="169" t="e">
        <f>IF(C2025="",NA(),MATCH($B2025&amp;$C2025,'Smelter Look-up'!$J:$J,0))</f>
        <v>#N/A</v>
      </c>
      <c r="X2025" s="170">
        <f t="shared" ca="1" si="158"/>
        <v>0</v>
      </c>
      <c r="AB2025" s="313" t="str">
        <f t="shared" si="160"/>
        <v/>
      </c>
      <c r="AC2025" s="170" t="str">
        <f t="shared" si="161"/>
        <v/>
      </c>
      <c r="AD2025" s="170" t="str">
        <f t="shared" si="162"/>
        <v/>
      </c>
    </row>
    <row r="2026" spans="1:30" s="170" customFormat="1" ht="20.399999999999999">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59"/>
        <v/>
      </c>
      <c r="T2026" s="155" t="str">
        <f ca="1">IF(B2026="","",IF(ISERROR(MATCH($J2026,SorP!$B$1:$B$6226,0)),"",INDIRECT("'SorP'!$A$"&amp;MATCH($S2026&amp;$J2026,SorP!C:C,0))))</f>
        <v/>
      </c>
      <c r="U2026" s="168"/>
      <c r="V2026" s="169" t="e">
        <f>IF(C2026="",NA(),MATCH($B2026&amp;$C2026,'Smelter Look-up'!$J:$J,0))</f>
        <v>#N/A</v>
      </c>
      <c r="X2026" s="170">
        <f t="shared" ca="1" si="158"/>
        <v>0</v>
      </c>
      <c r="AB2026" s="313" t="str">
        <f t="shared" si="160"/>
        <v/>
      </c>
      <c r="AC2026" s="170" t="str">
        <f t="shared" si="161"/>
        <v/>
      </c>
      <c r="AD2026" s="170" t="str">
        <f t="shared" si="162"/>
        <v/>
      </c>
    </row>
    <row r="2027" spans="1:30" s="170" customFormat="1" ht="20.399999999999999">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59"/>
        <v/>
      </c>
      <c r="T2027" s="155" t="str">
        <f ca="1">IF(B2027="","",IF(ISERROR(MATCH($J2027,SorP!$B$1:$B$6226,0)),"",INDIRECT("'SorP'!$A$"&amp;MATCH($S2027&amp;$J2027,SorP!C:C,0))))</f>
        <v/>
      </c>
      <c r="U2027" s="168"/>
      <c r="V2027" s="169" t="e">
        <f>IF(C2027="",NA(),MATCH($B2027&amp;$C2027,'Smelter Look-up'!$J:$J,0))</f>
        <v>#N/A</v>
      </c>
      <c r="X2027" s="170">
        <f t="shared" ca="1" si="158"/>
        <v>0</v>
      </c>
      <c r="AB2027" s="313" t="str">
        <f t="shared" si="160"/>
        <v/>
      </c>
      <c r="AC2027" s="170" t="str">
        <f t="shared" si="161"/>
        <v/>
      </c>
      <c r="AD2027" s="170" t="str">
        <f t="shared" si="162"/>
        <v/>
      </c>
    </row>
    <row r="2028" spans="1:30" s="170" customFormat="1" ht="20.399999999999999">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59"/>
        <v/>
      </c>
      <c r="T2028" s="155" t="str">
        <f ca="1">IF(B2028="","",IF(ISERROR(MATCH($J2028,SorP!$B$1:$B$6226,0)),"",INDIRECT("'SorP'!$A$"&amp;MATCH($S2028&amp;$J2028,SorP!C:C,0))))</f>
        <v/>
      </c>
      <c r="U2028" s="168"/>
      <c r="V2028" s="169" t="e">
        <f>IF(C2028="",NA(),MATCH($B2028&amp;$C2028,'Smelter Look-up'!$J:$J,0))</f>
        <v>#N/A</v>
      </c>
      <c r="X2028" s="170">
        <f t="shared" ca="1" si="158"/>
        <v>0</v>
      </c>
      <c r="AB2028" s="313" t="str">
        <f t="shared" si="160"/>
        <v/>
      </c>
      <c r="AC2028" s="170" t="str">
        <f t="shared" si="161"/>
        <v/>
      </c>
      <c r="AD2028" s="170" t="str">
        <f t="shared" si="162"/>
        <v/>
      </c>
    </row>
    <row r="2029" spans="1:30" s="170" customFormat="1" ht="20.399999999999999">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59"/>
        <v/>
      </c>
      <c r="T2029" s="155" t="str">
        <f ca="1">IF(B2029="","",IF(ISERROR(MATCH($J2029,SorP!$B$1:$B$6226,0)),"",INDIRECT("'SorP'!$A$"&amp;MATCH($S2029&amp;$J2029,SorP!C:C,0))))</f>
        <v/>
      </c>
      <c r="U2029" s="168"/>
      <c r="V2029" s="169" t="e">
        <f>IF(C2029="",NA(),MATCH($B2029&amp;$C2029,'Smelter Look-up'!$J:$J,0))</f>
        <v>#N/A</v>
      </c>
      <c r="X2029" s="170">
        <f t="shared" ca="1" si="158"/>
        <v>0</v>
      </c>
      <c r="AB2029" s="313" t="str">
        <f t="shared" si="160"/>
        <v/>
      </c>
      <c r="AC2029" s="170" t="str">
        <f t="shared" si="161"/>
        <v/>
      </c>
      <c r="AD2029" s="170" t="str">
        <f t="shared" si="162"/>
        <v/>
      </c>
    </row>
    <row r="2030" spans="1:30" s="170" customFormat="1" ht="20.399999999999999">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59"/>
        <v/>
      </c>
      <c r="T2030" s="155" t="str">
        <f ca="1">IF(B2030="","",IF(ISERROR(MATCH($J2030,SorP!$B$1:$B$6226,0)),"",INDIRECT("'SorP'!$A$"&amp;MATCH($S2030&amp;$J2030,SorP!C:C,0))))</f>
        <v/>
      </c>
      <c r="U2030" s="168"/>
      <c r="V2030" s="169" t="e">
        <f>IF(C2030="",NA(),MATCH($B2030&amp;$C2030,'Smelter Look-up'!$J:$J,0))</f>
        <v>#N/A</v>
      </c>
      <c r="X2030" s="170">
        <f t="shared" ca="1" si="158"/>
        <v>0</v>
      </c>
      <c r="AB2030" s="313" t="str">
        <f t="shared" si="160"/>
        <v/>
      </c>
      <c r="AC2030" s="170" t="str">
        <f t="shared" si="161"/>
        <v/>
      </c>
      <c r="AD2030" s="170" t="str">
        <f t="shared" si="162"/>
        <v/>
      </c>
    </row>
    <row r="2031" spans="1:30" s="170" customFormat="1" ht="20.399999999999999">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59"/>
        <v/>
      </c>
      <c r="T2031" s="155" t="str">
        <f ca="1">IF(B2031="","",IF(ISERROR(MATCH($J2031,SorP!$B$1:$B$6226,0)),"",INDIRECT("'SorP'!$A$"&amp;MATCH($S2031&amp;$J2031,SorP!C:C,0))))</f>
        <v/>
      </c>
      <c r="U2031" s="168"/>
      <c r="V2031" s="169" t="e">
        <f>IF(C2031="",NA(),MATCH($B2031&amp;$C2031,'Smelter Look-up'!$J:$J,0))</f>
        <v>#N/A</v>
      </c>
      <c r="X2031" s="170">
        <f t="shared" ca="1" si="158"/>
        <v>0</v>
      </c>
      <c r="AB2031" s="313" t="str">
        <f t="shared" si="160"/>
        <v/>
      </c>
      <c r="AC2031" s="170" t="str">
        <f t="shared" si="161"/>
        <v/>
      </c>
      <c r="AD2031" s="170" t="str">
        <f t="shared" si="162"/>
        <v/>
      </c>
    </row>
    <row r="2032" spans="1:30" s="170" customFormat="1" ht="20.399999999999999">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59"/>
        <v/>
      </c>
      <c r="T2032" s="155" t="str">
        <f ca="1">IF(B2032="","",IF(ISERROR(MATCH($J2032,SorP!$B$1:$B$6226,0)),"",INDIRECT("'SorP'!$A$"&amp;MATCH($S2032&amp;$J2032,SorP!C:C,0))))</f>
        <v/>
      </c>
      <c r="U2032" s="168"/>
      <c r="V2032" s="169" t="e">
        <f>IF(C2032="",NA(),MATCH($B2032&amp;$C2032,'Smelter Look-up'!$J:$J,0))</f>
        <v>#N/A</v>
      </c>
      <c r="X2032" s="170">
        <f t="shared" ca="1" si="158"/>
        <v>0</v>
      </c>
      <c r="AB2032" s="313" t="str">
        <f t="shared" si="160"/>
        <v/>
      </c>
      <c r="AC2032" s="170" t="str">
        <f t="shared" si="161"/>
        <v/>
      </c>
      <c r="AD2032" s="170" t="str">
        <f t="shared" si="162"/>
        <v/>
      </c>
    </row>
    <row r="2033" spans="1:30" s="170" customFormat="1" ht="20.399999999999999">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59"/>
        <v/>
      </c>
      <c r="T2033" s="155" t="str">
        <f ca="1">IF(B2033="","",IF(ISERROR(MATCH($J2033,SorP!$B$1:$B$6226,0)),"",INDIRECT("'SorP'!$A$"&amp;MATCH($S2033&amp;$J2033,SorP!C:C,0))))</f>
        <v/>
      </c>
      <c r="U2033" s="168"/>
      <c r="V2033" s="169" t="e">
        <f>IF(C2033="",NA(),MATCH($B2033&amp;$C2033,'Smelter Look-up'!$J:$J,0))</f>
        <v>#N/A</v>
      </c>
      <c r="X2033" s="170">
        <f t="shared" ca="1" si="158"/>
        <v>0</v>
      </c>
      <c r="AB2033" s="313" t="str">
        <f t="shared" si="160"/>
        <v/>
      </c>
      <c r="AC2033" s="170" t="str">
        <f t="shared" si="161"/>
        <v/>
      </c>
      <c r="AD2033" s="170" t="str">
        <f t="shared" si="162"/>
        <v/>
      </c>
    </row>
    <row r="2034" spans="1:30" s="170" customFormat="1" ht="20.399999999999999">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59"/>
        <v/>
      </c>
      <c r="T2034" s="155" t="str">
        <f ca="1">IF(B2034="","",IF(ISERROR(MATCH($J2034,SorP!$B$1:$B$6226,0)),"",INDIRECT("'SorP'!$A$"&amp;MATCH($S2034&amp;$J2034,SorP!C:C,0))))</f>
        <v/>
      </c>
      <c r="U2034" s="168"/>
      <c r="V2034" s="169" t="e">
        <f>IF(C2034="",NA(),MATCH($B2034&amp;$C2034,'Smelter Look-up'!$J:$J,0))</f>
        <v>#N/A</v>
      </c>
      <c r="X2034" s="170">
        <f t="shared" ca="1" si="158"/>
        <v>0</v>
      </c>
      <c r="AB2034" s="313" t="str">
        <f t="shared" si="160"/>
        <v/>
      </c>
      <c r="AC2034" s="170" t="str">
        <f t="shared" si="161"/>
        <v/>
      </c>
      <c r="AD2034" s="170" t="str">
        <f t="shared" si="162"/>
        <v/>
      </c>
    </row>
    <row r="2035" spans="1:30" s="170" customFormat="1" ht="20.399999999999999">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59"/>
        <v/>
      </c>
      <c r="T2035" s="155" t="str">
        <f ca="1">IF(B2035="","",IF(ISERROR(MATCH($J2035,SorP!$B$1:$B$6226,0)),"",INDIRECT("'SorP'!$A$"&amp;MATCH($S2035&amp;$J2035,SorP!C:C,0))))</f>
        <v/>
      </c>
      <c r="U2035" s="168"/>
      <c r="V2035" s="169" t="e">
        <f>IF(C2035="",NA(),MATCH($B2035&amp;$C2035,'Smelter Look-up'!$J:$J,0))</f>
        <v>#N/A</v>
      </c>
      <c r="X2035" s="170">
        <f t="shared" ca="1" si="158"/>
        <v>0</v>
      </c>
      <c r="AB2035" s="313" t="str">
        <f t="shared" si="160"/>
        <v/>
      </c>
      <c r="AC2035" s="170" t="str">
        <f t="shared" si="161"/>
        <v/>
      </c>
      <c r="AD2035" s="170" t="str">
        <f t="shared" si="162"/>
        <v/>
      </c>
    </row>
    <row r="2036" spans="1:30" s="170" customFormat="1" ht="20.399999999999999">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59"/>
        <v/>
      </c>
      <c r="T2036" s="155" t="str">
        <f ca="1">IF(B2036="","",IF(ISERROR(MATCH($J2036,SorP!$B$1:$B$6226,0)),"",INDIRECT("'SorP'!$A$"&amp;MATCH($S2036&amp;$J2036,SorP!C:C,0))))</f>
        <v/>
      </c>
      <c r="U2036" s="168"/>
      <c r="V2036" s="169" t="e">
        <f>IF(C2036="",NA(),MATCH($B2036&amp;$C2036,'Smelter Look-up'!$J:$J,0))</f>
        <v>#N/A</v>
      </c>
      <c r="X2036" s="170">
        <f t="shared" ca="1" si="158"/>
        <v>0</v>
      </c>
      <c r="AB2036" s="313" t="str">
        <f t="shared" si="160"/>
        <v/>
      </c>
      <c r="AC2036" s="170" t="str">
        <f t="shared" si="161"/>
        <v/>
      </c>
      <c r="AD2036" s="170" t="str">
        <f t="shared" si="162"/>
        <v/>
      </c>
    </row>
    <row r="2037" spans="1:30" s="170" customFormat="1" ht="20.399999999999999">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59"/>
        <v/>
      </c>
      <c r="T2037" s="155" t="str">
        <f ca="1">IF(B2037="","",IF(ISERROR(MATCH($J2037,SorP!$B$1:$B$6226,0)),"",INDIRECT("'SorP'!$A$"&amp;MATCH($S2037&amp;$J2037,SorP!C:C,0))))</f>
        <v/>
      </c>
      <c r="U2037" s="168"/>
      <c r="V2037" s="169" t="e">
        <f>IF(C2037="",NA(),MATCH($B2037&amp;$C2037,'Smelter Look-up'!$J:$J,0))</f>
        <v>#N/A</v>
      </c>
      <c r="X2037" s="170">
        <f t="shared" ca="1" si="158"/>
        <v>0</v>
      </c>
      <c r="AB2037" s="313" t="str">
        <f t="shared" si="160"/>
        <v/>
      </c>
      <c r="AC2037" s="170" t="str">
        <f t="shared" si="161"/>
        <v/>
      </c>
      <c r="AD2037" s="170" t="str">
        <f t="shared" si="162"/>
        <v/>
      </c>
    </row>
    <row r="2038" spans="1:30" s="170" customFormat="1" ht="20.399999999999999">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59"/>
        <v/>
      </c>
      <c r="T2038" s="155" t="str">
        <f ca="1">IF(B2038="","",IF(ISERROR(MATCH($J2038,SorP!$B$1:$B$6226,0)),"",INDIRECT("'SorP'!$A$"&amp;MATCH($S2038&amp;$J2038,SorP!C:C,0))))</f>
        <v/>
      </c>
      <c r="U2038" s="168"/>
      <c r="V2038" s="169" t="e">
        <f>IF(C2038="",NA(),MATCH($B2038&amp;$C2038,'Smelter Look-up'!$J:$J,0))</f>
        <v>#N/A</v>
      </c>
      <c r="X2038" s="170">
        <f t="shared" ca="1" si="158"/>
        <v>0</v>
      </c>
      <c r="AB2038" s="313" t="str">
        <f t="shared" si="160"/>
        <v/>
      </c>
      <c r="AC2038" s="170" t="str">
        <f t="shared" si="161"/>
        <v/>
      </c>
      <c r="AD2038" s="170" t="str">
        <f t="shared" si="162"/>
        <v/>
      </c>
    </row>
    <row r="2039" spans="1:30" s="170" customFormat="1" ht="20.399999999999999">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59"/>
        <v/>
      </c>
      <c r="T2039" s="155" t="str">
        <f ca="1">IF(B2039="","",IF(ISERROR(MATCH($J2039,SorP!$B$1:$B$6226,0)),"",INDIRECT("'SorP'!$A$"&amp;MATCH($S2039&amp;$J2039,SorP!C:C,0))))</f>
        <v/>
      </c>
      <c r="U2039" s="168"/>
      <c r="V2039" s="169" t="e">
        <f>IF(C2039="",NA(),MATCH($B2039&amp;$C2039,'Smelter Look-up'!$J:$J,0))</f>
        <v>#N/A</v>
      </c>
      <c r="X2039" s="170">
        <f t="shared" ca="1" si="158"/>
        <v>0</v>
      </c>
      <c r="AB2039" s="313" t="str">
        <f t="shared" si="160"/>
        <v/>
      </c>
      <c r="AC2039" s="170" t="str">
        <f t="shared" si="161"/>
        <v/>
      </c>
      <c r="AD2039" s="170" t="str">
        <f t="shared" si="162"/>
        <v/>
      </c>
    </row>
    <row r="2040" spans="1:30" s="170" customFormat="1" ht="20.399999999999999">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59"/>
        <v/>
      </c>
      <c r="T2040" s="155" t="str">
        <f ca="1">IF(B2040="","",IF(ISERROR(MATCH($J2040,SorP!$B$1:$B$6226,0)),"",INDIRECT("'SorP'!$A$"&amp;MATCH($S2040&amp;$J2040,SorP!C:C,0))))</f>
        <v/>
      </c>
      <c r="U2040" s="168"/>
      <c r="V2040" s="169" t="e">
        <f>IF(C2040="",NA(),MATCH($B2040&amp;$C2040,'Smelter Look-up'!$J:$J,0))</f>
        <v>#N/A</v>
      </c>
      <c r="X2040" s="170">
        <f t="shared" ca="1" si="158"/>
        <v>0</v>
      </c>
      <c r="AB2040" s="313" t="str">
        <f t="shared" si="160"/>
        <v/>
      </c>
      <c r="AC2040" s="170" t="str">
        <f t="shared" si="161"/>
        <v/>
      </c>
      <c r="AD2040" s="170" t="str">
        <f t="shared" si="162"/>
        <v/>
      </c>
    </row>
    <row r="2041" spans="1:30" s="170" customFormat="1" ht="20.399999999999999">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59"/>
        <v/>
      </c>
      <c r="T2041" s="155" t="str">
        <f ca="1">IF(B2041="","",IF(ISERROR(MATCH($J2041,SorP!$B$1:$B$6226,0)),"",INDIRECT("'SorP'!$A$"&amp;MATCH($S2041&amp;$J2041,SorP!C:C,0))))</f>
        <v/>
      </c>
      <c r="U2041" s="168"/>
      <c r="V2041" s="169" t="e">
        <f>IF(C2041="",NA(),MATCH($B2041&amp;$C2041,'Smelter Look-up'!$J:$J,0))</f>
        <v>#N/A</v>
      </c>
      <c r="X2041" s="170">
        <f t="shared" ca="1" si="158"/>
        <v>0</v>
      </c>
      <c r="AB2041" s="313" t="str">
        <f t="shared" si="160"/>
        <v/>
      </c>
      <c r="AC2041" s="170" t="str">
        <f t="shared" si="161"/>
        <v/>
      </c>
      <c r="AD2041" s="170" t="str">
        <f t="shared" si="162"/>
        <v/>
      </c>
    </row>
    <row r="2042" spans="1:30" s="170" customFormat="1" ht="20.399999999999999">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59"/>
        <v/>
      </c>
      <c r="T2042" s="155" t="str">
        <f ca="1">IF(B2042="","",IF(ISERROR(MATCH($J2042,SorP!$B$1:$B$6226,0)),"",INDIRECT("'SorP'!$A$"&amp;MATCH($S2042&amp;$J2042,SorP!C:C,0))))</f>
        <v/>
      </c>
      <c r="U2042" s="168"/>
      <c r="V2042" s="169" t="e">
        <f>IF(C2042="",NA(),MATCH($B2042&amp;$C2042,'Smelter Look-up'!$J:$J,0))</f>
        <v>#N/A</v>
      </c>
      <c r="X2042" s="170">
        <f t="shared" ca="1" si="158"/>
        <v>0</v>
      </c>
      <c r="AB2042" s="313" t="str">
        <f t="shared" si="160"/>
        <v/>
      </c>
      <c r="AC2042" s="170" t="str">
        <f t="shared" si="161"/>
        <v/>
      </c>
      <c r="AD2042" s="170" t="str">
        <f t="shared" si="162"/>
        <v/>
      </c>
    </row>
    <row r="2043" spans="1:30" s="170" customFormat="1" ht="20.399999999999999">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59"/>
        <v/>
      </c>
      <c r="T2043" s="155" t="str">
        <f ca="1">IF(B2043="","",IF(ISERROR(MATCH($J2043,SorP!$B$1:$B$6226,0)),"",INDIRECT("'SorP'!$A$"&amp;MATCH($S2043&amp;$J2043,SorP!C:C,0))))</f>
        <v/>
      </c>
      <c r="U2043" s="168"/>
      <c r="V2043" s="169" t="e">
        <f>IF(C2043="",NA(),MATCH($B2043&amp;$C2043,'Smelter Look-up'!$J:$J,0))</f>
        <v>#N/A</v>
      </c>
      <c r="X2043" s="170">
        <f t="shared" ca="1" si="158"/>
        <v>0</v>
      </c>
      <c r="AB2043" s="313" t="str">
        <f t="shared" si="160"/>
        <v/>
      </c>
      <c r="AC2043" s="170" t="str">
        <f t="shared" si="161"/>
        <v/>
      </c>
      <c r="AD2043" s="170" t="str">
        <f t="shared" si="162"/>
        <v/>
      </c>
    </row>
    <row r="2044" spans="1:30" s="170" customFormat="1" ht="20.399999999999999">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59"/>
        <v/>
      </c>
      <c r="T2044" s="155" t="str">
        <f ca="1">IF(B2044="","",IF(ISERROR(MATCH($J2044,SorP!$B$1:$B$6226,0)),"",INDIRECT("'SorP'!$A$"&amp;MATCH($S2044&amp;$J2044,SorP!C:C,0))))</f>
        <v/>
      </c>
      <c r="U2044" s="168"/>
      <c r="V2044" s="169" t="e">
        <f>IF(C2044="",NA(),MATCH($B2044&amp;$C2044,'Smelter Look-up'!$J:$J,0))</f>
        <v>#N/A</v>
      </c>
      <c r="X2044" s="170">
        <f t="shared" ca="1" si="158"/>
        <v>0</v>
      </c>
      <c r="AB2044" s="313" t="str">
        <f t="shared" si="160"/>
        <v/>
      </c>
      <c r="AC2044" s="170" t="str">
        <f t="shared" si="161"/>
        <v/>
      </c>
      <c r="AD2044" s="170" t="str">
        <f t="shared" si="162"/>
        <v/>
      </c>
    </row>
    <row r="2045" spans="1:30" s="170" customFormat="1" ht="20.399999999999999">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59"/>
        <v/>
      </c>
      <c r="T2045" s="155" t="str">
        <f ca="1">IF(B2045="","",IF(ISERROR(MATCH($J2045,SorP!$B$1:$B$6226,0)),"",INDIRECT("'SorP'!$A$"&amp;MATCH($S2045&amp;$J2045,SorP!C:C,0))))</f>
        <v/>
      </c>
      <c r="U2045" s="168"/>
      <c r="V2045" s="169" t="e">
        <f>IF(C2045="",NA(),MATCH($B2045&amp;$C2045,'Smelter Look-up'!$J:$J,0))</f>
        <v>#N/A</v>
      </c>
      <c r="X2045" s="170">
        <f t="shared" ca="1" si="158"/>
        <v>0</v>
      </c>
      <c r="AB2045" s="313" t="str">
        <f t="shared" si="160"/>
        <v/>
      </c>
      <c r="AC2045" s="170" t="str">
        <f t="shared" si="161"/>
        <v/>
      </c>
      <c r="AD2045" s="170" t="str">
        <f t="shared" si="162"/>
        <v/>
      </c>
    </row>
    <row r="2046" spans="1:30" s="170" customFormat="1" ht="20.399999999999999">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59"/>
        <v/>
      </c>
      <c r="T2046" s="155" t="str">
        <f ca="1">IF(B2046="","",IF(ISERROR(MATCH($J2046,SorP!$B$1:$B$6226,0)),"",INDIRECT("'SorP'!$A$"&amp;MATCH($S2046&amp;$J2046,SorP!C:C,0))))</f>
        <v/>
      </c>
      <c r="U2046" s="168"/>
      <c r="V2046" s="169" t="e">
        <f>IF(C2046="",NA(),MATCH($B2046&amp;$C2046,'Smelter Look-up'!$J:$J,0))</f>
        <v>#N/A</v>
      </c>
      <c r="X2046" s="170">
        <f t="shared" ca="1" si="158"/>
        <v>0</v>
      </c>
      <c r="AB2046" s="313" t="str">
        <f t="shared" si="160"/>
        <v/>
      </c>
      <c r="AC2046" s="170" t="str">
        <f t="shared" si="161"/>
        <v/>
      </c>
      <c r="AD2046" s="170" t="str">
        <f t="shared" si="162"/>
        <v/>
      </c>
    </row>
    <row r="2047" spans="1:30" s="170" customFormat="1" ht="20.399999999999999">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59"/>
        <v/>
      </c>
      <c r="T2047" s="155" t="str">
        <f ca="1">IF(B2047="","",IF(ISERROR(MATCH($J2047,SorP!$B$1:$B$6226,0)),"",INDIRECT("'SorP'!$A$"&amp;MATCH($S2047&amp;$J2047,SorP!C:C,0))))</f>
        <v/>
      </c>
      <c r="U2047" s="168"/>
      <c r="V2047" s="169" t="e">
        <f>IF(C2047="",NA(),MATCH($B2047&amp;$C2047,'Smelter Look-up'!$J:$J,0))</f>
        <v>#N/A</v>
      </c>
      <c r="X2047" s="170">
        <f t="shared" ref="X2047:X2110" ca="1" si="163">IF(AND(C2047="Smelter not listed",OR(LEN(D2047)=0,LEN(E2047)=0)),1,0)</f>
        <v>0</v>
      </c>
      <c r="AB2047" s="313" t="str">
        <f t="shared" si="160"/>
        <v/>
      </c>
      <c r="AC2047" s="170" t="str">
        <f t="shared" si="161"/>
        <v/>
      </c>
      <c r="AD2047" s="170" t="str">
        <f t="shared" si="162"/>
        <v/>
      </c>
    </row>
    <row r="2048" spans="1:30" s="170" customFormat="1" ht="20.399999999999999">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ref="S2048:S2111" ca="1" si="164">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163"/>
        <v>0</v>
      </c>
      <c r="AB2048" s="313" t="str">
        <f t="shared" si="160"/>
        <v/>
      </c>
      <c r="AC2048" s="170" t="str">
        <f t="shared" si="161"/>
        <v/>
      </c>
      <c r="AD2048" s="170" t="str">
        <f t="shared" si="162"/>
        <v/>
      </c>
    </row>
    <row r="2049" spans="1:30" s="170" customFormat="1" ht="20.399999999999999">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64"/>
        <v/>
      </c>
      <c r="T2049" s="155" t="str">
        <f ca="1">IF(B2049="","",IF(ISERROR(MATCH($J2049,SorP!$B$1:$B$6226,0)),"",INDIRECT("'SorP'!$A$"&amp;MATCH($S2049&amp;$J2049,SorP!C:C,0))))</f>
        <v/>
      </c>
      <c r="U2049" s="168"/>
      <c r="V2049" s="169" t="e">
        <f>IF(C2049="",NA(),MATCH($B2049&amp;$C2049,'Smelter Look-up'!$J:$J,0))</f>
        <v>#N/A</v>
      </c>
      <c r="X2049" s="170">
        <f t="shared" ca="1" si="163"/>
        <v>0</v>
      </c>
      <c r="AB2049" s="313" t="str">
        <f t="shared" si="160"/>
        <v/>
      </c>
      <c r="AC2049" s="170" t="str">
        <f t="shared" si="161"/>
        <v/>
      </c>
      <c r="AD2049" s="170" t="str">
        <f t="shared" si="162"/>
        <v/>
      </c>
    </row>
    <row r="2050" spans="1:30" s="170" customFormat="1" ht="20.399999999999999">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64"/>
        <v/>
      </c>
      <c r="T2050" s="155" t="str">
        <f ca="1">IF(B2050="","",IF(ISERROR(MATCH($J2050,SorP!$B$1:$B$6226,0)),"",INDIRECT("'SorP'!$A$"&amp;MATCH($S2050&amp;$J2050,SorP!C:C,0))))</f>
        <v/>
      </c>
      <c r="U2050" s="168"/>
      <c r="V2050" s="169" t="e">
        <f>IF(C2050="",NA(),MATCH($B2050&amp;$C2050,'Smelter Look-up'!$J:$J,0))</f>
        <v>#N/A</v>
      </c>
      <c r="X2050" s="170">
        <f t="shared" ca="1" si="163"/>
        <v>0</v>
      </c>
      <c r="AB2050" s="313" t="str">
        <f t="shared" si="160"/>
        <v/>
      </c>
      <c r="AC2050" s="170" t="str">
        <f t="shared" si="161"/>
        <v/>
      </c>
      <c r="AD2050" s="170" t="str">
        <f t="shared" si="162"/>
        <v/>
      </c>
    </row>
    <row r="2051" spans="1:30" s="170" customFormat="1" ht="20.399999999999999">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64"/>
        <v/>
      </c>
      <c r="T2051" s="155" t="str">
        <f ca="1">IF(B2051="","",IF(ISERROR(MATCH($J2051,SorP!$B$1:$B$6226,0)),"",INDIRECT("'SorP'!$A$"&amp;MATCH($S2051&amp;$J2051,SorP!C:C,0))))</f>
        <v/>
      </c>
      <c r="U2051" s="168"/>
      <c r="V2051" s="169" t="e">
        <f>IF(C2051="",NA(),MATCH($B2051&amp;$C2051,'Smelter Look-up'!$J:$J,0))</f>
        <v>#N/A</v>
      </c>
      <c r="X2051" s="170">
        <f t="shared" ca="1" si="163"/>
        <v>0</v>
      </c>
      <c r="AB2051" s="313" t="str">
        <f t="shared" si="160"/>
        <v/>
      </c>
      <c r="AC2051" s="170" t="str">
        <f t="shared" si="161"/>
        <v/>
      </c>
      <c r="AD2051" s="170" t="str">
        <f t="shared" si="162"/>
        <v/>
      </c>
    </row>
    <row r="2052" spans="1:30" s="170" customFormat="1" ht="20.399999999999999">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64"/>
        <v/>
      </c>
      <c r="T2052" s="155" t="str">
        <f ca="1">IF(B2052="","",IF(ISERROR(MATCH($J2052,SorP!$B$1:$B$6226,0)),"",INDIRECT("'SorP'!$A$"&amp;MATCH($S2052&amp;$J2052,SorP!C:C,0))))</f>
        <v/>
      </c>
      <c r="U2052" s="168"/>
      <c r="V2052" s="169" t="e">
        <f>IF(C2052="",NA(),MATCH($B2052&amp;$C2052,'Smelter Look-up'!$J:$J,0))</f>
        <v>#N/A</v>
      </c>
      <c r="X2052" s="170">
        <f t="shared" ca="1" si="163"/>
        <v>0</v>
      </c>
      <c r="AB2052" s="313" t="str">
        <f t="shared" si="160"/>
        <v/>
      </c>
      <c r="AC2052" s="170" t="str">
        <f t="shared" si="161"/>
        <v/>
      </c>
      <c r="AD2052" s="170" t="str">
        <f t="shared" si="162"/>
        <v/>
      </c>
    </row>
    <row r="2053" spans="1:30" s="170" customFormat="1" ht="20.399999999999999">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64"/>
        <v/>
      </c>
      <c r="T2053" s="155" t="str">
        <f ca="1">IF(B2053="","",IF(ISERROR(MATCH($J2053,SorP!$B$1:$B$6226,0)),"",INDIRECT("'SorP'!$A$"&amp;MATCH($S2053&amp;$J2053,SorP!C:C,0))))</f>
        <v/>
      </c>
      <c r="U2053" s="168"/>
      <c r="V2053" s="169" t="e">
        <f>IF(C2053="",NA(),MATCH($B2053&amp;$C2053,'Smelter Look-up'!$J:$J,0))</f>
        <v>#N/A</v>
      </c>
      <c r="X2053" s="170">
        <f t="shared" ca="1" si="163"/>
        <v>0</v>
      </c>
      <c r="AB2053" s="313" t="str">
        <f t="shared" si="160"/>
        <v/>
      </c>
      <c r="AC2053" s="170" t="str">
        <f t="shared" si="161"/>
        <v/>
      </c>
      <c r="AD2053" s="170" t="str">
        <f t="shared" si="162"/>
        <v/>
      </c>
    </row>
    <row r="2054" spans="1:30" s="170" customFormat="1" ht="20.399999999999999">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64"/>
        <v/>
      </c>
      <c r="T2054" s="155" t="str">
        <f ca="1">IF(B2054="","",IF(ISERROR(MATCH($J2054,SorP!$B$1:$B$6226,0)),"",INDIRECT("'SorP'!$A$"&amp;MATCH($S2054&amp;$J2054,SorP!C:C,0))))</f>
        <v/>
      </c>
      <c r="U2054" s="168"/>
      <c r="V2054" s="169" t="e">
        <f>IF(C2054="",NA(),MATCH($B2054&amp;$C2054,'Smelter Look-up'!$J:$J,0))</f>
        <v>#N/A</v>
      </c>
      <c r="X2054" s="170">
        <f t="shared" ca="1" si="163"/>
        <v>0</v>
      </c>
      <c r="AB2054" s="313" t="str">
        <f t="shared" ref="AB2054:AB2117" si="165">IF(C2054="","",B2054)</f>
        <v/>
      </c>
      <c r="AC2054" s="170" t="str">
        <f t="shared" ref="AC2054:AC2117" si="166">B2054</f>
        <v/>
      </c>
      <c r="AD2054" s="170" t="str">
        <f t="shared" ref="AD2054:AD2117" si="167">IF(C2054="Smelter not listed",D2054,C2054)</f>
        <v/>
      </c>
    </row>
    <row r="2055" spans="1:30" s="170" customFormat="1" ht="20.399999999999999">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64"/>
        <v/>
      </c>
      <c r="T2055" s="155" t="str">
        <f ca="1">IF(B2055="","",IF(ISERROR(MATCH($J2055,SorP!$B$1:$B$6226,0)),"",INDIRECT("'SorP'!$A$"&amp;MATCH($S2055&amp;$J2055,SorP!C:C,0))))</f>
        <v/>
      </c>
      <c r="U2055" s="168"/>
      <c r="V2055" s="169" t="e">
        <f>IF(C2055="",NA(),MATCH($B2055&amp;$C2055,'Smelter Look-up'!$J:$J,0))</f>
        <v>#N/A</v>
      </c>
      <c r="X2055" s="170">
        <f t="shared" ca="1" si="163"/>
        <v>0</v>
      </c>
      <c r="AB2055" s="313" t="str">
        <f t="shared" si="165"/>
        <v/>
      </c>
      <c r="AC2055" s="170" t="str">
        <f t="shared" si="166"/>
        <v/>
      </c>
      <c r="AD2055" s="170" t="str">
        <f t="shared" si="167"/>
        <v/>
      </c>
    </row>
    <row r="2056" spans="1:30" s="170" customFormat="1" ht="20.399999999999999">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64"/>
        <v/>
      </c>
      <c r="T2056" s="155" t="str">
        <f ca="1">IF(B2056="","",IF(ISERROR(MATCH($J2056,SorP!$B$1:$B$6226,0)),"",INDIRECT("'SorP'!$A$"&amp;MATCH($S2056&amp;$J2056,SorP!C:C,0))))</f>
        <v/>
      </c>
      <c r="U2056" s="168"/>
      <c r="V2056" s="169" t="e">
        <f>IF(C2056="",NA(),MATCH($B2056&amp;$C2056,'Smelter Look-up'!$J:$J,0))</f>
        <v>#N/A</v>
      </c>
      <c r="X2056" s="170">
        <f t="shared" ca="1" si="163"/>
        <v>0</v>
      </c>
      <c r="AB2056" s="313" t="str">
        <f t="shared" si="165"/>
        <v/>
      </c>
      <c r="AC2056" s="170" t="str">
        <f t="shared" si="166"/>
        <v/>
      </c>
      <c r="AD2056" s="170" t="str">
        <f t="shared" si="167"/>
        <v/>
      </c>
    </row>
    <row r="2057" spans="1:30" s="170" customFormat="1" ht="20.399999999999999">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64"/>
        <v/>
      </c>
      <c r="T2057" s="155" t="str">
        <f ca="1">IF(B2057="","",IF(ISERROR(MATCH($J2057,SorP!$B$1:$B$6226,0)),"",INDIRECT("'SorP'!$A$"&amp;MATCH($S2057&amp;$J2057,SorP!C:C,0))))</f>
        <v/>
      </c>
      <c r="U2057" s="168"/>
      <c r="V2057" s="169" t="e">
        <f>IF(C2057="",NA(),MATCH($B2057&amp;$C2057,'Smelter Look-up'!$J:$J,0))</f>
        <v>#N/A</v>
      </c>
      <c r="X2057" s="170">
        <f t="shared" ca="1" si="163"/>
        <v>0</v>
      </c>
      <c r="AB2057" s="313" t="str">
        <f t="shared" si="165"/>
        <v/>
      </c>
      <c r="AC2057" s="170" t="str">
        <f t="shared" si="166"/>
        <v/>
      </c>
      <c r="AD2057" s="170" t="str">
        <f t="shared" si="167"/>
        <v/>
      </c>
    </row>
    <row r="2058" spans="1:30" s="170" customFormat="1" ht="20.399999999999999">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64"/>
        <v/>
      </c>
      <c r="T2058" s="155" t="str">
        <f ca="1">IF(B2058="","",IF(ISERROR(MATCH($J2058,SorP!$B$1:$B$6226,0)),"",INDIRECT("'SorP'!$A$"&amp;MATCH($S2058&amp;$J2058,SorP!C:C,0))))</f>
        <v/>
      </c>
      <c r="U2058" s="168"/>
      <c r="V2058" s="169" t="e">
        <f>IF(C2058="",NA(),MATCH($B2058&amp;$C2058,'Smelter Look-up'!$J:$J,0))</f>
        <v>#N/A</v>
      </c>
      <c r="X2058" s="170">
        <f t="shared" ca="1" si="163"/>
        <v>0</v>
      </c>
      <c r="AB2058" s="313" t="str">
        <f t="shared" si="165"/>
        <v/>
      </c>
      <c r="AC2058" s="170" t="str">
        <f t="shared" si="166"/>
        <v/>
      </c>
      <c r="AD2058" s="170" t="str">
        <f t="shared" si="167"/>
        <v/>
      </c>
    </row>
    <row r="2059" spans="1:30" s="170" customFormat="1" ht="20.399999999999999">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64"/>
        <v/>
      </c>
      <c r="T2059" s="155" t="str">
        <f ca="1">IF(B2059="","",IF(ISERROR(MATCH($J2059,SorP!$B$1:$B$6226,0)),"",INDIRECT("'SorP'!$A$"&amp;MATCH($S2059&amp;$J2059,SorP!C:C,0))))</f>
        <v/>
      </c>
      <c r="U2059" s="168"/>
      <c r="V2059" s="169" t="e">
        <f>IF(C2059="",NA(),MATCH($B2059&amp;$C2059,'Smelter Look-up'!$J:$J,0))</f>
        <v>#N/A</v>
      </c>
      <c r="X2059" s="170">
        <f t="shared" ca="1" si="163"/>
        <v>0</v>
      </c>
      <c r="AB2059" s="313" t="str">
        <f t="shared" si="165"/>
        <v/>
      </c>
      <c r="AC2059" s="170" t="str">
        <f t="shared" si="166"/>
        <v/>
      </c>
      <c r="AD2059" s="170" t="str">
        <f t="shared" si="167"/>
        <v/>
      </c>
    </row>
    <row r="2060" spans="1:30" s="170" customFormat="1" ht="20.399999999999999">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64"/>
        <v/>
      </c>
      <c r="T2060" s="155" t="str">
        <f ca="1">IF(B2060="","",IF(ISERROR(MATCH($J2060,SorP!$B$1:$B$6226,0)),"",INDIRECT("'SorP'!$A$"&amp;MATCH($S2060&amp;$J2060,SorP!C:C,0))))</f>
        <v/>
      </c>
      <c r="U2060" s="168"/>
      <c r="V2060" s="169" t="e">
        <f>IF(C2060="",NA(),MATCH($B2060&amp;$C2060,'Smelter Look-up'!$J:$J,0))</f>
        <v>#N/A</v>
      </c>
      <c r="X2060" s="170">
        <f t="shared" ca="1" si="163"/>
        <v>0</v>
      </c>
      <c r="AB2060" s="313" t="str">
        <f t="shared" si="165"/>
        <v/>
      </c>
      <c r="AC2060" s="170" t="str">
        <f t="shared" si="166"/>
        <v/>
      </c>
      <c r="AD2060" s="170" t="str">
        <f t="shared" si="167"/>
        <v/>
      </c>
    </row>
    <row r="2061" spans="1:30" s="170" customFormat="1" ht="20.399999999999999">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64"/>
        <v/>
      </c>
      <c r="T2061" s="155" t="str">
        <f ca="1">IF(B2061="","",IF(ISERROR(MATCH($J2061,SorP!$B$1:$B$6226,0)),"",INDIRECT("'SorP'!$A$"&amp;MATCH($S2061&amp;$J2061,SorP!C:C,0))))</f>
        <v/>
      </c>
      <c r="U2061" s="168"/>
      <c r="V2061" s="169" t="e">
        <f>IF(C2061="",NA(),MATCH($B2061&amp;$C2061,'Smelter Look-up'!$J:$J,0))</f>
        <v>#N/A</v>
      </c>
      <c r="X2061" s="170">
        <f t="shared" ca="1" si="163"/>
        <v>0</v>
      </c>
      <c r="AB2061" s="313" t="str">
        <f t="shared" si="165"/>
        <v/>
      </c>
      <c r="AC2061" s="170" t="str">
        <f t="shared" si="166"/>
        <v/>
      </c>
      <c r="AD2061" s="170" t="str">
        <f t="shared" si="167"/>
        <v/>
      </c>
    </row>
    <row r="2062" spans="1:30" s="170" customFormat="1" ht="20.399999999999999">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64"/>
        <v/>
      </c>
      <c r="T2062" s="155" t="str">
        <f ca="1">IF(B2062="","",IF(ISERROR(MATCH($J2062,SorP!$B$1:$B$6226,0)),"",INDIRECT("'SorP'!$A$"&amp;MATCH($S2062&amp;$J2062,SorP!C:C,0))))</f>
        <v/>
      </c>
      <c r="U2062" s="168"/>
      <c r="V2062" s="169" t="e">
        <f>IF(C2062="",NA(),MATCH($B2062&amp;$C2062,'Smelter Look-up'!$J:$J,0))</f>
        <v>#N/A</v>
      </c>
      <c r="X2062" s="170">
        <f t="shared" ca="1" si="163"/>
        <v>0</v>
      </c>
      <c r="AB2062" s="313" t="str">
        <f t="shared" si="165"/>
        <v/>
      </c>
      <c r="AC2062" s="170" t="str">
        <f t="shared" si="166"/>
        <v/>
      </c>
      <c r="AD2062" s="170" t="str">
        <f t="shared" si="167"/>
        <v/>
      </c>
    </row>
    <row r="2063" spans="1:30" s="170" customFormat="1" ht="20.399999999999999">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64"/>
        <v/>
      </c>
      <c r="T2063" s="155" t="str">
        <f ca="1">IF(B2063="","",IF(ISERROR(MATCH($J2063,SorP!$B$1:$B$6226,0)),"",INDIRECT("'SorP'!$A$"&amp;MATCH($S2063&amp;$J2063,SorP!C:C,0))))</f>
        <v/>
      </c>
      <c r="U2063" s="168"/>
      <c r="V2063" s="169" t="e">
        <f>IF(C2063="",NA(),MATCH($B2063&amp;$C2063,'Smelter Look-up'!$J:$J,0))</f>
        <v>#N/A</v>
      </c>
      <c r="X2063" s="170">
        <f t="shared" ca="1" si="163"/>
        <v>0</v>
      </c>
      <c r="AB2063" s="313" t="str">
        <f t="shared" si="165"/>
        <v/>
      </c>
      <c r="AC2063" s="170" t="str">
        <f t="shared" si="166"/>
        <v/>
      </c>
      <c r="AD2063" s="170" t="str">
        <f t="shared" si="167"/>
        <v/>
      </c>
    </row>
    <row r="2064" spans="1:30" s="170" customFormat="1" ht="20.399999999999999">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64"/>
        <v/>
      </c>
      <c r="T2064" s="155" t="str">
        <f ca="1">IF(B2064="","",IF(ISERROR(MATCH($J2064,SorP!$B$1:$B$6226,0)),"",INDIRECT("'SorP'!$A$"&amp;MATCH($S2064&amp;$J2064,SorP!C:C,0))))</f>
        <v/>
      </c>
      <c r="U2064" s="168"/>
      <c r="V2064" s="169" t="e">
        <f>IF(C2064="",NA(),MATCH($B2064&amp;$C2064,'Smelter Look-up'!$J:$J,0))</f>
        <v>#N/A</v>
      </c>
      <c r="X2064" s="170">
        <f t="shared" ca="1" si="163"/>
        <v>0</v>
      </c>
      <c r="AB2064" s="313" t="str">
        <f t="shared" si="165"/>
        <v/>
      </c>
      <c r="AC2064" s="170" t="str">
        <f t="shared" si="166"/>
        <v/>
      </c>
      <c r="AD2064" s="170" t="str">
        <f t="shared" si="167"/>
        <v/>
      </c>
    </row>
    <row r="2065" spans="1:30" s="170" customFormat="1" ht="20.399999999999999">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64"/>
        <v/>
      </c>
      <c r="T2065" s="155" t="str">
        <f ca="1">IF(B2065="","",IF(ISERROR(MATCH($J2065,SorP!$B$1:$B$6226,0)),"",INDIRECT("'SorP'!$A$"&amp;MATCH($S2065&amp;$J2065,SorP!C:C,0))))</f>
        <v/>
      </c>
      <c r="U2065" s="168"/>
      <c r="V2065" s="169" t="e">
        <f>IF(C2065="",NA(),MATCH($B2065&amp;$C2065,'Smelter Look-up'!$J:$J,0))</f>
        <v>#N/A</v>
      </c>
      <c r="X2065" s="170">
        <f t="shared" ca="1" si="163"/>
        <v>0</v>
      </c>
      <c r="AB2065" s="313" t="str">
        <f t="shared" si="165"/>
        <v/>
      </c>
      <c r="AC2065" s="170" t="str">
        <f t="shared" si="166"/>
        <v/>
      </c>
      <c r="AD2065" s="170" t="str">
        <f t="shared" si="167"/>
        <v/>
      </c>
    </row>
    <row r="2066" spans="1:30" s="170" customFormat="1" ht="20.399999999999999">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64"/>
        <v/>
      </c>
      <c r="T2066" s="155" t="str">
        <f ca="1">IF(B2066="","",IF(ISERROR(MATCH($J2066,SorP!$B$1:$B$6226,0)),"",INDIRECT("'SorP'!$A$"&amp;MATCH($S2066&amp;$J2066,SorP!C:C,0))))</f>
        <v/>
      </c>
      <c r="U2066" s="168"/>
      <c r="V2066" s="169" t="e">
        <f>IF(C2066="",NA(),MATCH($B2066&amp;$C2066,'Smelter Look-up'!$J:$J,0))</f>
        <v>#N/A</v>
      </c>
      <c r="X2066" s="170">
        <f t="shared" ca="1" si="163"/>
        <v>0</v>
      </c>
      <c r="AB2066" s="313" t="str">
        <f t="shared" si="165"/>
        <v/>
      </c>
      <c r="AC2066" s="170" t="str">
        <f t="shared" si="166"/>
        <v/>
      </c>
      <c r="AD2066" s="170" t="str">
        <f t="shared" si="167"/>
        <v/>
      </c>
    </row>
    <row r="2067" spans="1:30" s="170" customFormat="1" ht="20.399999999999999">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64"/>
        <v/>
      </c>
      <c r="T2067" s="155" t="str">
        <f ca="1">IF(B2067="","",IF(ISERROR(MATCH($J2067,SorP!$B$1:$B$6226,0)),"",INDIRECT("'SorP'!$A$"&amp;MATCH($S2067&amp;$J2067,SorP!C:C,0))))</f>
        <v/>
      </c>
      <c r="U2067" s="168"/>
      <c r="V2067" s="169" t="e">
        <f>IF(C2067="",NA(),MATCH($B2067&amp;$C2067,'Smelter Look-up'!$J:$J,0))</f>
        <v>#N/A</v>
      </c>
      <c r="X2067" s="170">
        <f t="shared" ca="1" si="163"/>
        <v>0</v>
      </c>
      <c r="AB2067" s="313" t="str">
        <f t="shared" si="165"/>
        <v/>
      </c>
      <c r="AC2067" s="170" t="str">
        <f t="shared" si="166"/>
        <v/>
      </c>
      <c r="AD2067" s="170" t="str">
        <f t="shared" si="167"/>
        <v/>
      </c>
    </row>
    <row r="2068" spans="1:30" s="170" customFormat="1" ht="20.399999999999999">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64"/>
        <v/>
      </c>
      <c r="T2068" s="155" t="str">
        <f ca="1">IF(B2068="","",IF(ISERROR(MATCH($J2068,SorP!$B$1:$B$6226,0)),"",INDIRECT("'SorP'!$A$"&amp;MATCH($S2068&amp;$J2068,SorP!C:C,0))))</f>
        <v/>
      </c>
      <c r="U2068" s="168"/>
      <c r="V2068" s="169" t="e">
        <f>IF(C2068="",NA(),MATCH($B2068&amp;$C2068,'Smelter Look-up'!$J:$J,0))</f>
        <v>#N/A</v>
      </c>
      <c r="X2068" s="170">
        <f t="shared" ca="1" si="163"/>
        <v>0</v>
      </c>
      <c r="AB2068" s="313" t="str">
        <f t="shared" si="165"/>
        <v/>
      </c>
      <c r="AC2068" s="170" t="str">
        <f t="shared" si="166"/>
        <v/>
      </c>
      <c r="AD2068" s="170" t="str">
        <f t="shared" si="167"/>
        <v/>
      </c>
    </row>
    <row r="2069" spans="1:30" s="170" customFormat="1" ht="20.399999999999999">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64"/>
        <v/>
      </c>
      <c r="T2069" s="155" t="str">
        <f ca="1">IF(B2069="","",IF(ISERROR(MATCH($J2069,SorP!$B$1:$B$6226,0)),"",INDIRECT("'SorP'!$A$"&amp;MATCH($S2069&amp;$J2069,SorP!C:C,0))))</f>
        <v/>
      </c>
      <c r="U2069" s="168"/>
      <c r="V2069" s="169" t="e">
        <f>IF(C2069="",NA(),MATCH($B2069&amp;$C2069,'Smelter Look-up'!$J:$J,0))</f>
        <v>#N/A</v>
      </c>
      <c r="X2069" s="170">
        <f t="shared" ca="1" si="163"/>
        <v>0</v>
      </c>
      <c r="AB2069" s="313" t="str">
        <f t="shared" si="165"/>
        <v/>
      </c>
      <c r="AC2069" s="170" t="str">
        <f t="shared" si="166"/>
        <v/>
      </c>
      <c r="AD2069" s="170" t="str">
        <f t="shared" si="167"/>
        <v/>
      </c>
    </row>
    <row r="2070" spans="1:30" s="170" customFormat="1" ht="20.399999999999999">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64"/>
        <v/>
      </c>
      <c r="T2070" s="155" t="str">
        <f ca="1">IF(B2070="","",IF(ISERROR(MATCH($J2070,SorP!$B$1:$B$6226,0)),"",INDIRECT("'SorP'!$A$"&amp;MATCH($S2070&amp;$J2070,SorP!C:C,0))))</f>
        <v/>
      </c>
      <c r="U2070" s="168"/>
      <c r="V2070" s="169" t="e">
        <f>IF(C2070="",NA(),MATCH($B2070&amp;$C2070,'Smelter Look-up'!$J:$J,0))</f>
        <v>#N/A</v>
      </c>
      <c r="X2070" s="170">
        <f t="shared" ca="1" si="163"/>
        <v>0</v>
      </c>
      <c r="AB2070" s="313" t="str">
        <f t="shared" si="165"/>
        <v/>
      </c>
      <c r="AC2070" s="170" t="str">
        <f t="shared" si="166"/>
        <v/>
      </c>
      <c r="AD2070" s="170" t="str">
        <f t="shared" si="167"/>
        <v/>
      </c>
    </row>
    <row r="2071" spans="1:30" s="170" customFormat="1" ht="20.399999999999999">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64"/>
        <v/>
      </c>
      <c r="T2071" s="155" t="str">
        <f ca="1">IF(B2071="","",IF(ISERROR(MATCH($J2071,SorP!$B$1:$B$6226,0)),"",INDIRECT("'SorP'!$A$"&amp;MATCH($S2071&amp;$J2071,SorP!C:C,0))))</f>
        <v/>
      </c>
      <c r="U2071" s="168"/>
      <c r="V2071" s="169" t="e">
        <f>IF(C2071="",NA(),MATCH($B2071&amp;$C2071,'Smelter Look-up'!$J:$J,0))</f>
        <v>#N/A</v>
      </c>
      <c r="X2071" s="170">
        <f t="shared" ca="1" si="163"/>
        <v>0</v>
      </c>
      <c r="AB2071" s="313" t="str">
        <f t="shared" si="165"/>
        <v/>
      </c>
      <c r="AC2071" s="170" t="str">
        <f t="shared" si="166"/>
        <v/>
      </c>
      <c r="AD2071" s="170" t="str">
        <f t="shared" si="167"/>
        <v/>
      </c>
    </row>
    <row r="2072" spans="1:30" s="170" customFormat="1" ht="20.399999999999999">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64"/>
        <v/>
      </c>
      <c r="T2072" s="155" t="str">
        <f ca="1">IF(B2072="","",IF(ISERROR(MATCH($J2072,SorP!$B$1:$B$6226,0)),"",INDIRECT("'SorP'!$A$"&amp;MATCH($S2072&amp;$J2072,SorP!C:C,0))))</f>
        <v/>
      </c>
      <c r="U2072" s="168"/>
      <c r="V2072" s="169" t="e">
        <f>IF(C2072="",NA(),MATCH($B2072&amp;$C2072,'Smelter Look-up'!$J:$J,0))</f>
        <v>#N/A</v>
      </c>
      <c r="X2072" s="170">
        <f t="shared" ca="1" si="163"/>
        <v>0</v>
      </c>
      <c r="AB2072" s="313" t="str">
        <f t="shared" si="165"/>
        <v/>
      </c>
      <c r="AC2072" s="170" t="str">
        <f t="shared" si="166"/>
        <v/>
      </c>
      <c r="AD2072" s="170" t="str">
        <f t="shared" si="167"/>
        <v/>
      </c>
    </row>
    <row r="2073" spans="1:30" s="170" customFormat="1" ht="20.399999999999999">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64"/>
        <v/>
      </c>
      <c r="T2073" s="155" t="str">
        <f ca="1">IF(B2073="","",IF(ISERROR(MATCH($J2073,SorP!$B$1:$B$6226,0)),"",INDIRECT("'SorP'!$A$"&amp;MATCH($S2073&amp;$J2073,SorP!C:C,0))))</f>
        <v/>
      </c>
      <c r="U2073" s="168"/>
      <c r="V2073" s="169" t="e">
        <f>IF(C2073="",NA(),MATCH($B2073&amp;$C2073,'Smelter Look-up'!$J:$J,0))</f>
        <v>#N/A</v>
      </c>
      <c r="X2073" s="170">
        <f t="shared" ca="1" si="163"/>
        <v>0</v>
      </c>
      <c r="AB2073" s="313" t="str">
        <f t="shared" si="165"/>
        <v/>
      </c>
      <c r="AC2073" s="170" t="str">
        <f t="shared" si="166"/>
        <v/>
      </c>
      <c r="AD2073" s="170" t="str">
        <f t="shared" si="167"/>
        <v/>
      </c>
    </row>
    <row r="2074" spans="1:30" s="170" customFormat="1" ht="20.399999999999999">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64"/>
        <v/>
      </c>
      <c r="T2074" s="155" t="str">
        <f ca="1">IF(B2074="","",IF(ISERROR(MATCH($J2074,SorP!$B$1:$B$6226,0)),"",INDIRECT("'SorP'!$A$"&amp;MATCH($S2074&amp;$J2074,SorP!C:C,0))))</f>
        <v/>
      </c>
      <c r="U2074" s="168"/>
      <c r="V2074" s="169" t="e">
        <f>IF(C2074="",NA(),MATCH($B2074&amp;$C2074,'Smelter Look-up'!$J:$J,0))</f>
        <v>#N/A</v>
      </c>
      <c r="X2074" s="170">
        <f t="shared" ca="1" si="163"/>
        <v>0</v>
      </c>
      <c r="AB2074" s="313" t="str">
        <f t="shared" si="165"/>
        <v/>
      </c>
      <c r="AC2074" s="170" t="str">
        <f t="shared" si="166"/>
        <v/>
      </c>
      <c r="AD2074" s="170" t="str">
        <f t="shared" si="167"/>
        <v/>
      </c>
    </row>
    <row r="2075" spans="1:30" s="170" customFormat="1" ht="20.399999999999999">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64"/>
        <v/>
      </c>
      <c r="T2075" s="155" t="str">
        <f ca="1">IF(B2075="","",IF(ISERROR(MATCH($J2075,SorP!$B$1:$B$6226,0)),"",INDIRECT("'SorP'!$A$"&amp;MATCH($S2075&amp;$J2075,SorP!C:C,0))))</f>
        <v/>
      </c>
      <c r="U2075" s="168"/>
      <c r="V2075" s="169" t="e">
        <f>IF(C2075="",NA(),MATCH($B2075&amp;$C2075,'Smelter Look-up'!$J:$J,0))</f>
        <v>#N/A</v>
      </c>
      <c r="X2075" s="170">
        <f t="shared" ca="1" si="163"/>
        <v>0</v>
      </c>
      <c r="AB2075" s="313" t="str">
        <f t="shared" si="165"/>
        <v/>
      </c>
      <c r="AC2075" s="170" t="str">
        <f t="shared" si="166"/>
        <v/>
      </c>
      <c r="AD2075" s="170" t="str">
        <f t="shared" si="167"/>
        <v/>
      </c>
    </row>
    <row r="2076" spans="1:30" s="170" customFormat="1" ht="20.399999999999999">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64"/>
        <v/>
      </c>
      <c r="T2076" s="155" t="str">
        <f ca="1">IF(B2076="","",IF(ISERROR(MATCH($J2076,SorP!$B$1:$B$6226,0)),"",INDIRECT("'SorP'!$A$"&amp;MATCH($S2076&amp;$J2076,SorP!C:C,0))))</f>
        <v/>
      </c>
      <c r="U2076" s="168"/>
      <c r="V2076" s="169" t="e">
        <f>IF(C2076="",NA(),MATCH($B2076&amp;$C2076,'Smelter Look-up'!$J:$J,0))</f>
        <v>#N/A</v>
      </c>
      <c r="X2076" s="170">
        <f t="shared" ca="1" si="163"/>
        <v>0</v>
      </c>
      <c r="AB2076" s="313" t="str">
        <f t="shared" si="165"/>
        <v/>
      </c>
      <c r="AC2076" s="170" t="str">
        <f t="shared" si="166"/>
        <v/>
      </c>
      <c r="AD2076" s="170" t="str">
        <f t="shared" si="167"/>
        <v/>
      </c>
    </row>
    <row r="2077" spans="1:30" s="170" customFormat="1" ht="20.399999999999999">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64"/>
        <v/>
      </c>
      <c r="T2077" s="155" t="str">
        <f ca="1">IF(B2077="","",IF(ISERROR(MATCH($J2077,SorP!$B$1:$B$6226,0)),"",INDIRECT("'SorP'!$A$"&amp;MATCH($S2077&amp;$J2077,SorP!C:C,0))))</f>
        <v/>
      </c>
      <c r="U2077" s="168"/>
      <c r="V2077" s="169" t="e">
        <f>IF(C2077="",NA(),MATCH($B2077&amp;$C2077,'Smelter Look-up'!$J:$J,0))</f>
        <v>#N/A</v>
      </c>
      <c r="X2077" s="170">
        <f t="shared" ca="1" si="163"/>
        <v>0</v>
      </c>
      <c r="AB2077" s="313" t="str">
        <f t="shared" si="165"/>
        <v/>
      </c>
      <c r="AC2077" s="170" t="str">
        <f t="shared" si="166"/>
        <v/>
      </c>
      <c r="AD2077" s="170" t="str">
        <f t="shared" si="167"/>
        <v/>
      </c>
    </row>
    <row r="2078" spans="1:30" s="170" customFormat="1" ht="20.399999999999999">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64"/>
        <v/>
      </c>
      <c r="T2078" s="155" t="str">
        <f ca="1">IF(B2078="","",IF(ISERROR(MATCH($J2078,SorP!$B$1:$B$6226,0)),"",INDIRECT("'SorP'!$A$"&amp;MATCH($S2078&amp;$J2078,SorP!C:C,0))))</f>
        <v/>
      </c>
      <c r="U2078" s="168"/>
      <c r="V2078" s="169" t="e">
        <f>IF(C2078="",NA(),MATCH($B2078&amp;$C2078,'Smelter Look-up'!$J:$J,0))</f>
        <v>#N/A</v>
      </c>
      <c r="X2078" s="170">
        <f t="shared" ca="1" si="163"/>
        <v>0</v>
      </c>
      <c r="AB2078" s="313" t="str">
        <f t="shared" si="165"/>
        <v/>
      </c>
      <c r="AC2078" s="170" t="str">
        <f t="shared" si="166"/>
        <v/>
      </c>
      <c r="AD2078" s="170" t="str">
        <f t="shared" si="167"/>
        <v/>
      </c>
    </row>
    <row r="2079" spans="1:30" s="170" customFormat="1" ht="20.399999999999999">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64"/>
        <v/>
      </c>
      <c r="T2079" s="155" t="str">
        <f ca="1">IF(B2079="","",IF(ISERROR(MATCH($J2079,SorP!$B$1:$B$6226,0)),"",INDIRECT("'SorP'!$A$"&amp;MATCH($S2079&amp;$J2079,SorP!C:C,0))))</f>
        <v/>
      </c>
      <c r="U2079" s="168"/>
      <c r="V2079" s="169" t="e">
        <f>IF(C2079="",NA(),MATCH($B2079&amp;$C2079,'Smelter Look-up'!$J:$J,0))</f>
        <v>#N/A</v>
      </c>
      <c r="X2079" s="170">
        <f t="shared" ca="1" si="163"/>
        <v>0</v>
      </c>
      <c r="AB2079" s="313" t="str">
        <f t="shared" si="165"/>
        <v/>
      </c>
      <c r="AC2079" s="170" t="str">
        <f t="shared" si="166"/>
        <v/>
      </c>
      <c r="AD2079" s="170" t="str">
        <f t="shared" si="167"/>
        <v/>
      </c>
    </row>
    <row r="2080" spans="1:30" s="170" customFormat="1" ht="20.399999999999999">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64"/>
        <v/>
      </c>
      <c r="T2080" s="155" t="str">
        <f ca="1">IF(B2080="","",IF(ISERROR(MATCH($J2080,SorP!$B$1:$B$6226,0)),"",INDIRECT("'SorP'!$A$"&amp;MATCH($S2080&amp;$J2080,SorP!C:C,0))))</f>
        <v/>
      </c>
      <c r="U2080" s="168"/>
      <c r="V2080" s="169" t="e">
        <f>IF(C2080="",NA(),MATCH($B2080&amp;$C2080,'Smelter Look-up'!$J:$J,0))</f>
        <v>#N/A</v>
      </c>
      <c r="X2080" s="170">
        <f t="shared" ca="1" si="163"/>
        <v>0</v>
      </c>
      <c r="AB2080" s="313" t="str">
        <f t="shared" si="165"/>
        <v/>
      </c>
      <c r="AC2080" s="170" t="str">
        <f t="shared" si="166"/>
        <v/>
      </c>
      <c r="AD2080" s="170" t="str">
        <f t="shared" si="167"/>
        <v/>
      </c>
    </row>
    <row r="2081" spans="1:30" s="170" customFormat="1" ht="20.399999999999999">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64"/>
        <v/>
      </c>
      <c r="T2081" s="155" t="str">
        <f ca="1">IF(B2081="","",IF(ISERROR(MATCH($J2081,SorP!$B$1:$B$6226,0)),"",INDIRECT("'SorP'!$A$"&amp;MATCH($S2081&amp;$J2081,SorP!C:C,0))))</f>
        <v/>
      </c>
      <c r="U2081" s="168"/>
      <c r="V2081" s="169" t="e">
        <f>IF(C2081="",NA(),MATCH($B2081&amp;$C2081,'Smelter Look-up'!$J:$J,0))</f>
        <v>#N/A</v>
      </c>
      <c r="X2081" s="170">
        <f t="shared" ca="1" si="163"/>
        <v>0</v>
      </c>
      <c r="AB2081" s="313" t="str">
        <f t="shared" si="165"/>
        <v/>
      </c>
      <c r="AC2081" s="170" t="str">
        <f t="shared" si="166"/>
        <v/>
      </c>
      <c r="AD2081" s="170" t="str">
        <f t="shared" si="167"/>
        <v/>
      </c>
    </row>
    <row r="2082" spans="1:30" s="170" customFormat="1" ht="20.399999999999999">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64"/>
        <v/>
      </c>
      <c r="T2082" s="155" t="str">
        <f ca="1">IF(B2082="","",IF(ISERROR(MATCH($J2082,SorP!$B$1:$B$6226,0)),"",INDIRECT("'SorP'!$A$"&amp;MATCH($S2082&amp;$J2082,SorP!C:C,0))))</f>
        <v/>
      </c>
      <c r="U2082" s="168"/>
      <c r="V2082" s="169" t="e">
        <f>IF(C2082="",NA(),MATCH($B2082&amp;$C2082,'Smelter Look-up'!$J:$J,0))</f>
        <v>#N/A</v>
      </c>
      <c r="X2082" s="170">
        <f t="shared" ca="1" si="163"/>
        <v>0</v>
      </c>
      <c r="AB2082" s="313" t="str">
        <f t="shared" si="165"/>
        <v/>
      </c>
      <c r="AC2082" s="170" t="str">
        <f t="shared" si="166"/>
        <v/>
      </c>
      <c r="AD2082" s="170" t="str">
        <f t="shared" si="167"/>
        <v/>
      </c>
    </row>
    <row r="2083" spans="1:30" s="170" customFormat="1" ht="20.399999999999999">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64"/>
        <v/>
      </c>
      <c r="T2083" s="155" t="str">
        <f ca="1">IF(B2083="","",IF(ISERROR(MATCH($J2083,SorP!$B$1:$B$6226,0)),"",INDIRECT("'SorP'!$A$"&amp;MATCH($S2083&amp;$J2083,SorP!C:C,0))))</f>
        <v/>
      </c>
      <c r="U2083" s="168"/>
      <c r="V2083" s="169" t="e">
        <f>IF(C2083="",NA(),MATCH($B2083&amp;$C2083,'Smelter Look-up'!$J:$J,0))</f>
        <v>#N/A</v>
      </c>
      <c r="X2083" s="170">
        <f t="shared" ca="1" si="163"/>
        <v>0</v>
      </c>
      <c r="AB2083" s="313" t="str">
        <f t="shared" si="165"/>
        <v/>
      </c>
      <c r="AC2083" s="170" t="str">
        <f t="shared" si="166"/>
        <v/>
      </c>
      <c r="AD2083" s="170" t="str">
        <f t="shared" si="167"/>
        <v/>
      </c>
    </row>
    <row r="2084" spans="1:30" s="170" customFormat="1" ht="20.399999999999999">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64"/>
        <v/>
      </c>
      <c r="T2084" s="155" t="str">
        <f ca="1">IF(B2084="","",IF(ISERROR(MATCH($J2084,SorP!$B$1:$B$6226,0)),"",INDIRECT("'SorP'!$A$"&amp;MATCH($S2084&amp;$J2084,SorP!C:C,0))))</f>
        <v/>
      </c>
      <c r="U2084" s="168"/>
      <c r="V2084" s="169" t="e">
        <f>IF(C2084="",NA(),MATCH($B2084&amp;$C2084,'Smelter Look-up'!$J:$J,0))</f>
        <v>#N/A</v>
      </c>
      <c r="X2084" s="170">
        <f t="shared" ca="1" si="163"/>
        <v>0</v>
      </c>
      <c r="AB2084" s="313" t="str">
        <f t="shared" si="165"/>
        <v/>
      </c>
      <c r="AC2084" s="170" t="str">
        <f t="shared" si="166"/>
        <v/>
      </c>
      <c r="AD2084" s="170" t="str">
        <f t="shared" si="167"/>
        <v/>
      </c>
    </row>
    <row r="2085" spans="1:30" s="170" customFormat="1" ht="20.399999999999999">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64"/>
        <v/>
      </c>
      <c r="T2085" s="155" t="str">
        <f ca="1">IF(B2085="","",IF(ISERROR(MATCH($J2085,SorP!$B$1:$B$6226,0)),"",INDIRECT("'SorP'!$A$"&amp;MATCH($S2085&amp;$J2085,SorP!C:C,0))))</f>
        <v/>
      </c>
      <c r="U2085" s="168"/>
      <c r="V2085" s="169" t="e">
        <f>IF(C2085="",NA(),MATCH($B2085&amp;$C2085,'Smelter Look-up'!$J:$J,0))</f>
        <v>#N/A</v>
      </c>
      <c r="X2085" s="170">
        <f t="shared" ca="1" si="163"/>
        <v>0</v>
      </c>
      <c r="AB2085" s="313" t="str">
        <f t="shared" si="165"/>
        <v/>
      </c>
      <c r="AC2085" s="170" t="str">
        <f t="shared" si="166"/>
        <v/>
      </c>
      <c r="AD2085" s="170" t="str">
        <f t="shared" si="167"/>
        <v/>
      </c>
    </row>
    <row r="2086" spans="1:30" s="170" customFormat="1" ht="20.399999999999999">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64"/>
        <v/>
      </c>
      <c r="T2086" s="155" t="str">
        <f ca="1">IF(B2086="","",IF(ISERROR(MATCH($J2086,SorP!$B$1:$B$6226,0)),"",INDIRECT("'SorP'!$A$"&amp;MATCH($S2086&amp;$J2086,SorP!C:C,0))))</f>
        <v/>
      </c>
      <c r="U2086" s="168"/>
      <c r="V2086" s="169" t="e">
        <f>IF(C2086="",NA(),MATCH($B2086&amp;$C2086,'Smelter Look-up'!$J:$J,0))</f>
        <v>#N/A</v>
      </c>
      <c r="X2086" s="170">
        <f t="shared" ca="1" si="163"/>
        <v>0</v>
      </c>
      <c r="AB2086" s="313" t="str">
        <f t="shared" si="165"/>
        <v/>
      </c>
      <c r="AC2086" s="170" t="str">
        <f t="shared" si="166"/>
        <v/>
      </c>
      <c r="AD2086" s="170" t="str">
        <f t="shared" si="167"/>
        <v/>
      </c>
    </row>
    <row r="2087" spans="1:30" s="170" customFormat="1" ht="20.399999999999999">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64"/>
        <v/>
      </c>
      <c r="T2087" s="155" t="str">
        <f ca="1">IF(B2087="","",IF(ISERROR(MATCH($J2087,SorP!$B$1:$B$6226,0)),"",INDIRECT("'SorP'!$A$"&amp;MATCH($S2087&amp;$J2087,SorP!C:C,0))))</f>
        <v/>
      </c>
      <c r="U2087" s="168"/>
      <c r="V2087" s="169" t="e">
        <f>IF(C2087="",NA(),MATCH($B2087&amp;$C2087,'Smelter Look-up'!$J:$J,0))</f>
        <v>#N/A</v>
      </c>
      <c r="X2087" s="170">
        <f t="shared" ca="1" si="163"/>
        <v>0</v>
      </c>
      <c r="AB2087" s="313" t="str">
        <f t="shared" si="165"/>
        <v/>
      </c>
      <c r="AC2087" s="170" t="str">
        <f t="shared" si="166"/>
        <v/>
      </c>
      <c r="AD2087" s="170" t="str">
        <f t="shared" si="167"/>
        <v/>
      </c>
    </row>
    <row r="2088" spans="1:30" s="170" customFormat="1" ht="20.399999999999999">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64"/>
        <v/>
      </c>
      <c r="T2088" s="155" t="str">
        <f ca="1">IF(B2088="","",IF(ISERROR(MATCH($J2088,SorP!$B$1:$B$6226,0)),"",INDIRECT("'SorP'!$A$"&amp;MATCH($S2088&amp;$J2088,SorP!C:C,0))))</f>
        <v/>
      </c>
      <c r="U2088" s="168"/>
      <c r="V2088" s="169" t="e">
        <f>IF(C2088="",NA(),MATCH($B2088&amp;$C2088,'Smelter Look-up'!$J:$J,0))</f>
        <v>#N/A</v>
      </c>
      <c r="X2088" s="170">
        <f t="shared" ca="1" si="163"/>
        <v>0</v>
      </c>
      <c r="AB2088" s="313" t="str">
        <f t="shared" si="165"/>
        <v/>
      </c>
      <c r="AC2088" s="170" t="str">
        <f t="shared" si="166"/>
        <v/>
      </c>
      <c r="AD2088" s="170" t="str">
        <f t="shared" si="167"/>
        <v/>
      </c>
    </row>
    <row r="2089" spans="1:30" s="170" customFormat="1" ht="20.399999999999999">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64"/>
        <v/>
      </c>
      <c r="T2089" s="155" t="str">
        <f ca="1">IF(B2089="","",IF(ISERROR(MATCH($J2089,SorP!$B$1:$B$6226,0)),"",INDIRECT("'SorP'!$A$"&amp;MATCH($S2089&amp;$J2089,SorP!C:C,0))))</f>
        <v/>
      </c>
      <c r="U2089" s="168"/>
      <c r="V2089" s="169" t="e">
        <f>IF(C2089="",NA(),MATCH($B2089&amp;$C2089,'Smelter Look-up'!$J:$J,0))</f>
        <v>#N/A</v>
      </c>
      <c r="X2089" s="170">
        <f t="shared" ca="1" si="163"/>
        <v>0</v>
      </c>
      <c r="AB2089" s="313" t="str">
        <f t="shared" si="165"/>
        <v/>
      </c>
      <c r="AC2089" s="170" t="str">
        <f t="shared" si="166"/>
        <v/>
      </c>
      <c r="AD2089" s="170" t="str">
        <f t="shared" si="167"/>
        <v/>
      </c>
    </row>
    <row r="2090" spans="1:30" s="170" customFormat="1" ht="20.399999999999999">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64"/>
        <v/>
      </c>
      <c r="T2090" s="155" t="str">
        <f ca="1">IF(B2090="","",IF(ISERROR(MATCH($J2090,SorP!$B$1:$B$6226,0)),"",INDIRECT("'SorP'!$A$"&amp;MATCH($S2090&amp;$J2090,SorP!C:C,0))))</f>
        <v/>
      </c>
      <c r="U2090" s="168"/>
      <c r="V2090" s="169" t="e">
        <f>IF(C2090="",NA(),MATCH($B2090&amp;$C2090,'Smelter Look-up'!$J:$J,0))</f>
        <v>#N/A</v>
      </c>
      <c r="X2090" s="170">
        <f t="shared" ca="1" si="163"/>
        <v>0</v>
      </c>
      <c r="AB2090" s="313" t="str">
        <f t="shared" si="165"/>
        <v/>
      </c>
      <c r="AC2090" s="170" t="str">
        <f t="shared" si="166"/>
        <v/>
      </c>
      <c r="AD2090" s="170" t="str">
        <f t="shared" si="167"/>
        <v/>
      </c>
    </row>
    <row r="2091" spans="1:30" s="170" customFormat="1" ht="20.399999999999999">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64"/>
        <v/>
      </c>
      <c r="T2091" s="155" t="str">
        <f ca="1">IF(B2091="","",IF(ISERROR(MATCH($J2091,SorP!$B$1:$B$6226,0)),"",INDIRECT("'SorP'!$A$"&amp;MATCH($S2091&amp;$J2091,SorP!C:C,0))))</f>
        <v/>
      </c>
      <c r="U2091" s="168"/>
      <c r="V2091" s="169" t="e">
        <f>IF(C2091="",NA(),MATCH($B2091&amp;$C2091,'Smelter Look-up'!$J:$J,0))</f>
        <v>#N/A</v>
      </c>
      <c r="X2091" s="170">
        <f t="shared" ca="1" si="163"/>
        <v>0</v>
      </c>
      <c r="AB2091" s="313" t="str">
        <f t="shared" si="165"/>
        <v/>
      </c>
      <c r="AC2091" s="170" t="str">
        <f t="shared" si="166"/>
        <v/>
      </c>
      <c r="AD2091" s="170" t="str">
        <f t="shared" si="167"/>
        <v/>
      </c>
    </row>
    <row r="2092" spans="1:30" s="170" customFormat="1" ht="20.399999999999999">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64"/>
        <v/>
      </c>
      <c r="T2092" s="155" t="str">
        <f ca="1">IF(B2092="","",IF(ISERROR(MATCH($J2092,SorP!$B$1:$B$6226,0)),"",INDIRECT("'SorP'!$A$"&amp;MATCH($S2092&amp;$J2092,SorP!C:C,0))))</f>
        <v/>
      </c>
      <c r="U2092" s="168"/>
      <c r="V2092" s="169" t="e">
        <f>IF(C2092="",NA(),MATCH($B2092&amp;$C2092,'Smelter Look-up'!$J:$J,0))</f>
        <v>#N/A</v>
      </c>
      <c r="X2092" s="170">
        <f t="shared" ca="1" si="163"/>
        <v>0</v>
      </c>
      <c r="AB2092" s="313" t="str">
        <f t="shared" si="165"/>
        <v/>
      </c>
      <c r="AC2092" s="170" t="str">
        <f t="shared" si="166"/>
        <v/>
      </c>
      <c r="AD2092" s="170" t="str">
        <f t="shared" si="167"/>
        <v/>
      </c>
    </row>
    <row r="2093" spans="1:30" s="170" customFormat="1" ht="20.399999999999999">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64"/>
        <v/>
      </c>
      <c r="T2093" s="155" t="str">
        <f ca="1">IF(B2093="","",IF(ISERROR(MATCH($J2093,SorP!$B$1:$B$6226,0)),"",INDIRECT("'SorP'!$A$"&amp;MATCH($S2093&amp;$J2093,SorP!C:C,0))))</f>
        <v/>
      </c>
      <c r="U2093" s="168"/>
      <c r="V2093" s="169" t="e">
        <f>IF(C2093="",NA(),MATCH($B2093&amp;$C2093,'Smelter Look-up'!$J:$J,0))</f>
        <v>#N/A</v>
      </c>
      <c r="X2093" s="170">
        <f t="shared" ca="1" si="163"/>
        <v>0</v>
      </c>
      <c r="AB2093" s="313" t="str">
        <f t="shared" si="165"/>
        <v/>
      </c>
      <c r="AC2093" s="170" t="str">
        <f t="shared" si="166"/>
        <v/>
      </c>
      <c r="AD2093" s="170" t="str">
        <f t="shared" si="167"/>
        <v/>
      </c>
    </row>
    <row r="2094" spans="1:30" s="170" customFormat="1" ht="20.399999999999999">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64"/>
        <v/>
      </c>
      <c r="T2094" s="155" t="str">
        <f ca="1">IF(B2094="","",IF(ISERROR(MATCH($J2094,SorP!$B$1:$B$6226,0)),"",INDIRECT("'SorP'!$A$"&amp;MATCH($S2094&amp;$J2094,SorP!C:C,0))))</f>
        <v/>
      </c>
      <c r="U2094" s="168"/>
      <c r="V2094" s="169" t="e">
        <f>IF(C2094="",NA(),MATCH($B2094&amp;$C2094,'Smelter Look-up'!$J:$J,0))</f>
        <v>#N/A</v>
      </c>
      <c r="X2094" s="170">
        <f t="shared" ca="1" si="163"/>
        <v>0</v>
      </c>
      <c r="AB2094" s="313" t="str">
        <f t="shared" si="165"/>
        <v/>
      </c>
      <c r="AC2094" s="170" t="str">
        <f t="shared" si="166"/>
        <v/>
      </c>
      <c r="AD2094" s="170" t="str">
        <f t="shared" si="167"/>
        <v/>
      </c>
    </row>
    <row r="2095" spans="1:30" s="170" customFormat="1" ht="20.399999999999999">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64"/>
        <v/>
      </c>
      <c r="T2095" s="155" t="str">
        <f ca="1">IF(B2095="","",IF(ISERROR(MATCH($J2095,SorP!$B$1:$B$6226,0)),"",INDIRECT("'SorP'!$A$"&amp;MATCH($S2095&amp;$J2095,SorP!C:C,0))))</f>
        <v/>
      </c>
      <c r="U2095" s="168"/>
      <c r="V2095" s="169" t="e">
        <f>IF(C2095="",NA(),MATCH($B2095&amp;$C2095,'Smelter Look-up'!$J:$J,0))</f>
        <v>#N/A</v>
      </c>
      <c r="X2095" s="170">
        <f t="shared" ca="1" si="163"/>
        <v>0</v>
      </c>
      <c r="AB2095" s="313" t="str">
        <f t="shared" si="165"/>
        <v/>
      </c>
      <c r="AC2095" s="170" t="str">
        <f t="shared" si="166"/>
        <v/>
      </c>
      <c r="AD2095" s="170" t="str">
        <f t="shared" si="167"/>
        <v/>
      </c>
    </row>
    <row r="2096" spans="1:30" s="170" customFormat="1" ht="20.399999999999999">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64"/>
        <v/>
      </c>
      <c r="T2096" s="155" t="str">
        <f ca="1">IF(B2096="","",IF(ISERROR(MATCH($J2096,SorP!$B$1:$B$6226,0)),"",INDIRECT("'SorP'!$A$"&amp;MATCH($S2096&amp;$J2096,SorP!C:C,0))))</f>
        <v/>
      </c>
      <c r="U2096" s="168"/>
      <c r="V2096" s="169" t="e">
        <f>IF(C2096="",NA(),MATCH($B2096&amp;$C2096,'Smelter Look-up'!$J:$J,0))</f>
        <v>#N/A</v>
      </c>
      <c r="X2096" s="170">
        <f t="shared" ca="1" si="163"/>
        <v>0</v>
      </c>
      <c r="AB2096" s="313" t="str">
        <f t="shared" si="165"/>
        <v/>
      </c>
      <c r="AC2096" s="170" t="str">
        <f t="shared" si="166"/>
        <v/>
      </c>
      <c r="AD2096" s="170" t="str">
        <f t="shared" si="167"/>
        <v/>
      </c>
    </row>
    <row r="2097" spans="1:30" s="170" customFormat="1" ht="20.399999999999999">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64"/>
        <v/>
      </c>
      <c r="T2097" s="155" t="str">
        <f ca="1">IF(B2097="","",IF(ISERROR(MATCH($J2097,SorP!$B$1:$B$6226,0)),"",INDIRECT("'SorP'!$A$"&amp;MATCH($S2097&amp;$J2097,SorP!C:C,0))))</f>
        <v/>
      </c>
      <c r="U2097" s="168"/>
      <c r="V2097" s="169" t="e">
        <f>IF(C2097="",NA(),MATCH($B2097&amp;$C2097,'Smelter Look-up'!$J:$J,0))</f>
        <v>#N/A</v>
      </c>
      <c r="X2097" s="170">
        <f t="shared" ca="1" si="163"/>
        <v>0</v>
      </c>
      <c r="AB2097" s="313" t="str">
        <f t="shared" si="165"/>
        <v/>
      </c>
      <c r="AC2097" s="170" t="str">
        <f t="shared" si="166"/>
        <v/>
      </c>
      <c r="AD2097" s="170" t="str">
        <f t="shared" si="167"/>
        <v/>
      </c>
    </row>
    <row r="2098" spans="1:30" s="170" customFormat="1" ht="20.399999999999999">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64"/>
        <v/>
      </c>
      <c r="T2098" s="155" t="str">
        <f ca="1">IF(B2098="","",IF(ISERROR(MATCH($J2098,SorP!$B$1:$B$6226,0)),"",INDIRECT("'SorP'!$A$"&amp;MATCH($S2098&amp;$J2098,SorP!C:C,0))))</f>
        <v/>
      </c>
      <c r="U2098" s="168"/>
      <c r="V2098" s="169" t="e">
        <f>IF(C2098="",NA(),MATCH($B2098&amp;$C2098,'Smelter Look-up'!$J:$J,0))</f>
        <v>#N/A</v>
      </c>
      <c r="X2098" s="170">
        <f t="shared" ca="1" si="163"/>
        <v>0</v>
      </c>
      <c r="AB2098" s="313" t="str">
        <f t="shared" si="165"/>
        <v/>
      </c>
      <c r="AC2098" s="170" t="str">
        <f t="shared" si="166"/>
        <v/>
      </c>
      <c r="AD2098" s="170" t="str">
        <f t="shared" si="167"/>
        <v/>
      </c>
    </row>
    <row r="2099" spans="1:30" s="170" customFormat="1" ht="20.399999999999999">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64"/>
        <v/>
      </c>
      <c r="T2099" s="155" t="str">
        <f ca="1">IF(B2099="","",IF(ISERROR(MATCH($J2099,SorP!$B$1:$B$6226,0)),"",INDIRECT("'SorP'!$A$"&amp;MATCH($S2099&amp;$J2099,SorP!C:C,0))))</f>
        <v/>
      </c>
      <c r="U2099" s="168"/>
      <c r="V2099" s="169" t="e">
        <f>IF(C2099="",NA(),MATCH($B2099&amp;$C2099,'Smelter Look-up'!$J:$J,0))</f>
        <v>#N/A</v>
      </c>
      <c r="X2099" s="170">
        <f t="shared" ca="1" si="163"/>
        <v>0</v>
      </c>
      <c r="AB2099" s="313" t="str">
        <f t="shared" si="165"/>
        <v/>
      </c>
      <c r="AC2099" s="170" t="str">
        <f t="shared" si="166"/>
        <v/>
      </c>
      <c r="AD2099" s="170" t="str">
        <f t="shared" si="167"/>
        <v/>
      </c>
    </row>
    <row r="2100" spans="1:30" s="170" customFormat="1" ht="20.399999999999999">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64"/>
        <v/>
      </c>
      <c r="T2100" s="155" t="str">
        <f ca="1">IF(B2100="","",IF(ISERROR(MATCH($J2100,SorP!$B$1:$B$6226,0)),"",INDIRECT("'SorP'!$A$"&amp;MATCH($S2100&amp;$J2100,SorP!C:C,0))))</f>
        <v/>
      </c>
      <c r="U2100" s="168"/>
      <c r="V2100" s="169" t="e">
        <f>IF(C2100="",NA(),MATCH($B2100&amp;$C2100,'Smelter Look-up'!$J:$J,0))</f>
        <v>#N/A</v>
      </c>
      <c r="X2100" s="170">
        <f t="shared" ca="1" si="163"/>
        <v>0</v>
      </c>
      <c r="AB2100" s="313" t="str">
        <f t="shared" si="165"/>
        <v/>
      </c>
      <c r="AC2100" s="170" t="str">
        <f t="shared" si="166"/>
        <v/>
      </c>
      <c r="AD2100" s="170" t="str">
        <f t="shared" si="167"/>
        <v/>
      </c>
    </row>
    <row r="2101" spans="1:30" s="170" customFormat="1" ht="20.399999999999999">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64"/>
        <v/>
      </c>
      <c r="T2101" s="155" t="str">
        <f ca="1">IF(B2101="","",IF(ISERROR(MATCH($J2101,SorP!$B$1:$B$6226,0)),"",INDIRECT("'SorP'!$A$"&amp;MATCH($S2101&amp;$J2101,SorP!C:C,0))))</f>
        <v/>
      </c>
      <c r="U2101" s="168"/>
      <c r="V2101" s="169" t="e">
        <f>IF(C2101="",NA(),MATCH($B2101&amp;$C2101,'Smelter Look-up'!$J:$J,0))</f>
        <v>#N/A</v>
      </c>
      <c r="X2101" s="170">
        <f t="shared" ca="1" si="163"/>
        <v>0</v>
      </c>
      <c r="AB2101" s="313" t="str">
        <f t="shared" si="165"/>
        <v/>
      </c>
      <c r="AC2101" s="170" t="str">
        <f t="shared" si="166"/>
        <v/>
      </c>
      <c r="AD2101" s="170" t="str">
        <f t="shared" si="167"/>
        <v/>
      </c>
    </row>
    <row r="2102" spans="1:30" s="170" customFormat="1" ht="20.399999999999999">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64"/>
        <v/>
      </c>
      <c r="T2102" s="155" t="str">
        <f ca="1">IF(B2102="","",IF(ISERROR(MATCH($J2102,SorP!$B$1:$B$6226,0)),"",INDIRECT("'SorP'!$A$"&amp;MATCH($S2102&amp;$J2102,SorP!C:C,0))))</f>
        <v/>
      </c>
      <c r="U2102" s="168"/>
      <c r="V2102" s="169" t="e">
        <f>IF(C2102="",NA(),MATCH($B2102&amp;$C2102,'Smelter Look-up'!$J:$J,0))</f>
        <v>#N/A</v>
      </c>
      <c r="X2102" s="170">
        <f t="shared" ca="1" si="163"/>
        <v>0</v>
      </c>
      <c r="AB2102" s="313" t="str">
        <f t="shared" si="165"/>
        <v/>
      </c>
      <c r="AC2102" s="170" t="str">
        <f t="shared" si="166"/>
        <v/>
      </c>
      <c r="AD2102" s="170" t="str">
        <f t="shared" si="167"/>
        <v/>
      </c>
    </row>
    <row r="2103" spans="1:30" s="170" customFormat="1" ht="20.399999999999999">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64"/>
        <v/>
      </c>
      <c r="T2103" s="155" t="str">
        <f ca="1">IF(B2103="","",IF(ISERROR(MATCH($J2103,SorP!$B$1:$B$6226,0)),"",INDIRECT("'SorP'!$A$"&amp;MATCH($S2103&amp;$J2103,SorP!C:C,0))))</f>
        <v/>
      </c>
      <c r="U2103" s="168"/>
      <c r="V2103" s="169" t="e">
        <f>IF(C2103="",NA(),MATCH($B2103&amp;$C2103,'Smelter Look-up'!$J:$J,0))</f>
        <v>#N/A</v>
      </c>
      <c r="X2103" s="170">
        <f t="shared" ca="1" si="163"/>
        <v>0</v>
      </c>
      <c r="AB2103" s="313" t="str">
        <f t="shared" si="165"/>
        <v/>
      </c>
      <c r="AC2103" s="170" t="str">
        <f t="shared" si="166"/>
        <v/>
      </c>
      <c r="AD2103" s="170" t="str">
        <f t="shared" si="167"/>
        <v/>
      </c>
    </row>
    <row r="2104" spans="1:30" s="170" customFormat="1" ht="20.399999999999999">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64"/>
        <v/>
      </c>
      <c r="T2104" s="155" t="str">
        <f ca="1">IF(B2104="","",IF(ISERROR(MATCH($J2104,SorP!$B$1:$B$6226,0)),"",INDIRECT("'SorP'!$A$"&amp;MATCH($S2104&amp;$J2104,SorP!C:C,0))))</f>
        <v/>
      </c>
      <c r="U2104" s="168"/>
      <c r="V2104" s="169" t="e">
        <f>IF(C2104="",NA(),MATCH($B2104&amp;$C2104,'Smelter Look-up'!$J:$J,0))</f>
        <v>#N/A</v>
      </c>
      <c r="X2104" s="170">
        <f t="shared" ca="1" si="163"/>
        <v>0</v>
      </c>
      <c r="AB2104" s="313" t="str">
        <f t="shared" si="165"/>
        <v/>
      </c>
      <c r="AC2104" s="170" t="str">
        <f t="shared" si="166"/>
        <v/>
      </c>
      <c r="AD2104" s="170" t="str">
        <f t="shared" si="167"/>
        <v/>
      </c>
    </row>
    <row r="2105" spans="1:30" s="170" customFormat="1" ht="20.399999999999999">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64"/>
        <v/>
      </c>
      <c r="T2105" s="155" t="str">
        <f ca="1">IF(B2105="","",IF(ISERROR(MATCH($J2105,SorP!$B$1:$B$6226,0)),"",INDIRECT("'SorP'!$A$"&amp;MATCH($S2105&amp;$J2105,SorP!C:C,0))))</f>
        <v/>
      </c>
      <c r="U2105" s="168"/>
      <c r="V2105" s="169" t="e">
        <f>IF(C2105="",NA(),MATCH($B2105&amp;$C2105,'Smelter Look-up'!$J:$J,0))</f>
        <v>#N/A</v>
      </c>
      <c r="X2105" s="170">
        <f t="shared" ca="1" si="163"/>
        <v>0</v>
      </c>
      <c r="AB2105" s="313" t="str">
        <f t="shared" si="165"/>
        <v/>
      </c>
      <c r="AC2105" s="170" t="str">
        <f t="shared" si="166"/>
        <v/>
      </c>
      <c r="AD2105" s="170" t="str">
        <f t="shared" si="167"/>
        <v/>
      </c>
    </row>
    <row r="2106" spans="1:30" s="170" customFormat="1" ht="20.399999999999999">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64"/>
        <v/>
      </c>
      <c r="T2106" s="155" t="str">
        <f ca="1">IF(B2106="","",IF(ISERROR(MATCH($J2106,SorP!$B$1:$B$6226,0)),"",INDIRECT("'SorP'!$A$"&amp;MATCH($S2106&amp;$J2106,SorP!C:C,0))))</f>
        <v/>
      </c>
      <c r="U2106" s="168"/>
      <c r="V2106" s="169" t="e">
        <f>IF(C2106="",NA(),MATCH($B2106&amp;$C2106,'Smelter Look-up'!$J:$J,0))</f>
        <v>#N/A</v>
      </c>
      <c r="X2106" s="170">
        <f t="shared" ca="1" si="163"/>
        <v>0</v>
      </c>
      <c r="AB2106" s="313" t="str">
        <f t="shared" si="165"/>
        <v/>
      </c>
      <c r="AC2106" s="170" t="str">
        <f t="shared" si="166"/>
        <v/>
      </c>
      <c r="AD2106" s="170" t="str">
        <f t="shared" si="167"/>
        <v/>
      </c>
    </row>
    <row r="2107" spans="1:30" s="170" customFormat="1" ht="20.399999999999999">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64"/>
        <v/>
      </c>
      <c r="T2107" s="155" t="str">
        <f ca="1">IF(B2107="","",IF(ISERROR(MATCH($J2107,SorP!$B$1:$B$6226,0)),"",INDIRECT("'SorP'!$A$"&amp;MATCH($S2107&amp;$J2107,SorP!C:C,0))))</f>
        <v/>
      </c>
      <c r="U2107" s="168"/>
      <c r="V2107" s="169" t="e">
        <f>IF(C2107="",NA(),MATCH($B2107&amp;$C2107,'Smelter Look-up'!$J:$J,0))</f>
        <v>#N/A</v>
      </c>
      <c r="X2107" s="170">
        <f t="shared" ca="1" si="163"/>
        <v>0</v>
      </c>
      <c r="AB2107" s="313" t="str">
        <f t="shared" si="165"/>
        <v/>
      </c>
      <c r="AC2107" s="170" t="str">
        <f t="shared" si="166"/>
        <v/>
      </c>
      <c r="AD2107" s="170" t="str">
        <f t="shared" si="167"/>
        <v/>
      </c>
    </row>
    <row r="2108" spans="1:30" s="170" customFormat="1" ht="20.399999999999999">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64"/>
        <v/>
      </c>
      <c r="T2108" s="155" t="str">
        <f ca="1">IF(B2108="","",IF(ISERROR(MATCH($J2108,SorP!$B$1:$B$6226,0)),"",INDIRECT("'SorP'!$A$"&amp;MATCH($S2108&amp;$J2108,SorP!C:C,0))))</f>
        <v/>
      </c>
      <c r="U2108" s="168"/>
      <c r="V2108" s="169" t="e">
        <f>IF(C2108="",NA(),MATCH($B2108&amp;$C2108,'Smelter Look-up'!$J:$J,0))</f>
        <v>#N/A</v>
      </c>
      <c r="X2108" s="170">
        <f t="shared" ca="1" si="163"/>
        <v>0</v>
      </c>
      <c r="AB2108" s="313" t="str">
        <f t="shared" si="165"/>
        <v/>
      </c>
      <c r="AC2108" s="170" t="str">
        <f t="shared" si="166"/>
        <v/>
      </c>
      <c r="AD2108" s="170" t="str">
        <f t="shared" si="167"/>
        <v/>
      </c>
    </row>
    <row r="2109" spans="1:30" s="170" customFormat="1" ht="20.399999999999999">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64"/>
        <v/>
      </c>
      <c r="T2109" s="155" t="str">
        <f ca="1">IF(B2109="","",IF(ISERROR(MATCH($J2109,SorP!$B$1:$B$6226,0)),"",INDIRECT("'SorP'!$A$"&amp;MATCH($S2109&amp;$J2109,SorP!C:C,0))))</f>
        <v/>
      </c>
      <c r="U2109" s="168"/>
      <c r="V2109" s="169" t="e">
        <f>IF(C2109="",NA(),MATCH($B2109&amp;$C2109,'Smelter Look-up'!$J:$J,0))</f>
        <v>#N/A</v>
      </c>
      <c r="X2109" s="170">
        <f t="shared" ca="1" si="163"/>
        <v>0</v>
      </c>
      <c r="AB2109" s="313" t="str">
        <f t="shared" si="165"/>
        <v/>
      </c>
      <c r="AC2109" s="170" t="str">
        <f t="shared" si="166"/>
        <v/>
      </c>
      <c r="AD2109" s="170" t="str">
        <f t="shared" si="167"/>
        <v/>
      </c>
    </row>
    <row r="2110" spans="1:30" s="170" customFormat="1" ht="20.399999999999999">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64"/>
        <v/>
      </c>
      <c r="T2110" s="155" t="str">
        <f ca="1">IF(B2110="","",IF(ISERROR(MATCH($J2110,SorP!$B$1:$B$6226,0)),"",INDIRECT("'SorP'!$A$"&amp;MATCH($S2110&amp;$J2110,SorP!C:C,0))))</f>
        <v/>
      </c>
      <c r="U2110" s="168"/>
      <c r="V2110" s="169" t="e">
        <f>IF(C2110="",NA(),MATCH($B2110&amp;$C2110,'Smelter Look-up'!$J:$J,0))</f>
        <v>#N/A</v>
      </c>
      <c r="X2110" s="170">
        <f t="shared" ca="1" si="163"/>
        <v>0</v>
      </c>
      <c r="AB2110" s="313" t="str">
        <f t="shared" si="165"/>
        <v/>
      </c>
      <c r="AC2110" s="170" t="str">
        <f t="shared" si="166"/>
        <v/>
      </c>
      <c r="AD2110" s="170" t="str">
        <f t="shared" si="167"/>
        <v/>
      </c>
    </row>
    <row r="2111" spans="1:30" s="170" customFormat="1" ht="20.399999999999999">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64"/>
        <v/>
      </c>
      <c r="T2111" s="155" t="str">
        <f ca="1">IF(B2111="","",IF(ISERROR(MATCH($J2111,SorP!$B$1:$B$6226,0)),"",INDIRECT("'SorP'!$A$"&amp;MATCH($S2111&amp;$J2111,SorP!C:C,0))))</f>
        <v/>
      </c>
      <c r="U2111" s="168"/>
      <c r="V2111" s="169" t="e">
        <f>IF(C2111="",NA(),MATCH($B2111&amp;$C2111,'Smelter Look-up'!$J:$J,0))</f>
        <v>#N/A</v>
      </c>
      <c r="X2111" s="170">
        <f t="shared" ref="X2111:X2174" ca="1" si="168">IF(AND(C2111="Smelter not listed",OR(LEN(D2111)=0,LEN(E2111)=0)),1,0)</f>
        <v>0</v>
      </c>
      <c r="AB2111" s="313" t="str">
        <f t="shared" si="165"/>
        <v/>
      </c>
      <c r="AC2111" s="170" t="str">
        <f t="shared" si="166"/>
        <v/>
      </c>
      <c r="AD2111" s="170" t="str">
        <f t="shared" si="167"/>
        <v/>
      </c>
    </row>
    <row r="2112" spans="1:30" s="170" customFormat="1" ht="20.399999999999999">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ref="S2112:S2175" ca="1" si="169">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68"/>
        <v>0</v>
      </c>
      <c r="AB2112" s="313" t="str">
        <f t="shared" si="165"/>
        <v/>
      </c>
      <c r="AC2112" s="170" t="str">
        <f t="shared" si="166"/>
        <v/>
      </c>
      <c r="AD2112" s="170" t="str">
        <f t="shared" si="167"/>
        <v/>
      </c>
    </row>
    <row r="2113" spans="1:30" s="170" customFormat="1" ht="20.399999999999999">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69"/>
        <v/>
      </c>
      <c r="T2113" s="155" t="str">
        <f ca="1">IF(B2113="","",IF(ISERROR(MATCH($J2113,SorP!$B$1:$B$6226,0)),"",INDIRECT("'SorP'!$A$"&amp;MATCH($S2113&amp;$J2113,SorP!C:C,0))))</f>
        <v/>
      </c>
      <c r="U2113" s="168"/>
      <c r="V2113" s="169" t="e">
        <f>IF(C2113="",NA(),MATCH($B2113&amp;$C2113,'Smelter Look-up'!$J:$J,0))</f>
        <v>#N/A</v>
      </c>
      <c r="X2113" s="170">
        <f t="shared" ca="1" si="168"/>
        <v>0</v>
      </c>
      <c r="AB2113" s="313" t="str">
        <f t="shared" si="165"/>
        <v/>
      </c>
      <c r="AC2113" s="170" t="str">
        <f t="shared" si="166"/>
        <v/>
      </c>
      <c r="AD2113" s="170" t="str">
        <f t="shared" si="167"/>
        <v/>
      </c>
    </row>
    <row r="2114" spans="1:30" s="170" customFormat="1" ht="20.399999999999999">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69"/>
        <v/>
      </c>
      <c r="T2114" s="155" t="str">
        <f ca="1">IF(B2114="","",IF(ISERROR(MATCH($J2114,SorP!$B$1:$B$6226,0)),"",INDIRECT("'SorP'!$A$"&amp;MATCH($S2114&amp;$J2114,SorP!C:C,0))))</f>
        <v/>
      </c>
      <c r="U2114" s="168"/>
      <c r="V2114" s="169" t="e">
        <f>IF(C2114="",NA(),MATCH($B2114&amp;$C2114,'Smelter Look-up'!$J:$J,0))</f>
        <v>#N/A</v>
      </c>
      <c r="X2114" s="170">
        <f t="shared" ca="1" si="168"/>
        <v>0</v>
      </c>
      <c r="AB2114" s="313" t="str">
        <f t="shared" si="165"/>
        <v/>
      </c>
      <c r="AC2114" s="170" t="str">
        <f t="shared" si="166"/>
        <v/>
      </c>
      <c r="AD2114" s="170" t="str">
        <f t="shared" si="167"/>
        <v/>
      </c>
    </row>
    <row r="2115" spans="1:30" s="170" customFormat="1" ht="20.399999999999999">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69"/>
        <v/>
      </c>
      <c r="T2115" s="155" t="str">
        <f ca="1">IF(B2115="","",IF(ISERROR(MATCH($J2115,SorP!$B$1:$B$6226,0)),"",INDIRECT("'SorP'!$A$"&amp;MATCH($S2115&amp;$J2115,SorP!C:C,0))))</f>
        <v/>
      </c>
      <c r="U2115" s="168"/>
      <c r="V2115" s="169" t="e">
        <f>IF(C2115="",NA(),MATCH($B2115&amp;$C2115,'Smelter Look-up'!$J:$J,0))</f>
        <v>#N/A</v>
      </c>
      <c r="X2115" s="170">
        <f t="shared" ca="1" si="168"/>
        <v>0</v>
      </c>
      <c r="AB2115" s="313" t="str">
        <f t="shared" si="165"/>
        <v/>
      </c>
      <c r="AC2115" s="170" t="str">
        <f t="shared" si="166"/>
        <v/>
      </c>
      <c r="AD2115" s="170" t="str">
        <f t="shared" si="167"/>
        <v/>
      </c>
    </row>
    <row r="2116" spans="1:30" s="170" customFormat="1" ht="20.399999999999999">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69"/>
        <v/>
      </c>
      <c r="T2116" s="155" t="str">
        <f ca="1">IF(B2116="","",IF(ISERROR(MATCH($J2116,SorP!$B$1:$B$6226,0)),"",INDIRECT("'SorP'!$A$"&amp;MATCH($S2116&amp;$J2116,SorP!C:C,0))))</f>
        <v/>
      </c>
      <c r="U2116" s="168"/>
      <c r="V2116" s="169" t="e">
        <f>IF(C2116="",NA(),MATCH($B2116&amp;$C2116,'Smelter Look-up'!$J:$J,0))</f>
        <v>#N/A</v>
      </c>
      <c r="X2116" s="170">
        <f t="shared" ca="1" si="168"/>
        <v>0</v>
      </c>
      <c r="AB2116" s="313" t="str">
        <f t="shared" si="165"/>
        <v/>
      </c>
      <c r="AC2116" s="170" t="str">
        <f t="shared" si="166"/>
        <v/>
      </c>
      <c r="AD2116" s="170" t="str">
        <f t="shared" si="167"/>
        <v/>
      </c>
    </row>
    <row r="2117" spans="1:30" s="170" customFormat="1" ht="20.399999999999999">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69"/>
        <v/>
      </c>
      <c r="T2117" s="155" t="str">
        <f ca="1">IF(B2117="","",IF(ISERROR(MATCH($J2117,SorP!$B$1:$B$6226,0)),"",INDIRECT("'SorP'!$A$"&amp;MATCH($S2117&amp;$J2117,SorP!C:C,0))))</f>
        <v/>
      </c>
      <c r="U2117" s="168"/>
      <c r="V2117" s="169" t="e">
        <f>IF(C2117="",NA(),MATCH($B2117&amp;$C2117,'Smelter Look-up'!$J:$J,0))</f>
        <v>#N/A</v>
      </c>
      <c r="X2117" s="170">
        <f t="shared" ca="1" si="168"/>
        <v>0</v>
      </c>
      <c r="AB2117" s="313" t="str">
        <f t="shared" si="165"/>
        <v/>
      </c>
      <c r="AC2117" s="170" t="str">
        <f t="shared" si="166"/>
        <v/>
      </c>
      <c r="AD2117" s="170" t="str">
        <f t="shared" si="167"/>
        <v/>
      </c>
    </row>
    <row r="2118" spans="1:30" s="170" customFormat="1" ht="20.399999999999999">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69"/>
        <v/>
      </c>
      <c r="T2118" s="155" t="str">
        <f ca="1">IF(B2118="","",IF(ISERROR(MATCH($J2118,SorP!$B$1:$B$6226,0)),"",INDIRECT("'SorP'!$A$"&amp;MATCH($S2118&amp;$J2118,SorP!C:C,0))))</f>
        <v/>
      </c>
      <c r="U2118" s="168"/>
      <c r="V2118" s="169" t="e">
        <f>IF(C2118="",NA(),MATCH($B2118&amp;$C2118,'Smelter Look-up'!$J:$J,0))</f>
        <v>#N/A</v>
      </c>
      <c r="X2118" s="170">
        <f t="shared" ca="1" si="168"/>
        <v>0</v>
      </c>
      <c r="AB2118" s="313" t="str">
        <f t="shared" ref="AB2118:AB2181" si="170">IF(C2118="","",B2118)</f>
        <v/>
      </c>
      <c r="AC2118" s="170" t="str">
        <f t="shared" ref="AC2118:AC2181" si="171">B2118</f>
        <v/>
      </c>
      <c r="AD2118" s="170" t="str">
        <f t="shared" ref="AD2118:AD2181" si="172">IF(C2118="Smelter not listed",D2118,C2118)</f>
        <v/>
      </c>
    </row>
    <row r="2119" spans="1:30" s="170" customFormat="1" ht="20.399999999999999">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69"/>
        <v/>
      </c>
      <c r="T2119" s="155" t="str">
        <f ca="1">IF(B2119="","",IF(ISERROR(MATCH($J2119,SorP!$B$1:$B$6226,0)),"",INDIRECT("'SorP'!$A$"&amp;MATCH($S2119&amp;$J2119,SorP!C:C,0))))</f>
        <v/>
      </c>
      <c r="U2119" s="168"/>
      <c r="V2119" s="169" t="e">
        <f>IF(C2119="",NA(),MATCH($B2119&amp;$C2119,'Smelter Look-up'!$J:$J,0))</f>
        <v>#N/A</v>
      </c>
      <c r="X2119" s="170">
        <f t="shared" ca="1" si="168"/>
        <v>0</v>
      </c>
      <c r="AB2119" s="313" t="str">
        <f t="shared" si="170"/>
        <v/>
      </c>
      <c r="AC2119" s="170" t="str">
        <f t="shared" si="171"/>
        <v/>
      </c>
      <c r="AD2119" s="170" t="str">
        <f t="shared" si="172"/>
        <v/>
      </c>
    </row>
    <row r="2120" spans="1:30" s="170" customFormat="1" ht="20.399999999999999">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69"/>
        <v/>
      </c>
      <c r="T2120" s="155" t="str">
        <f ca="1">IF(B2120="","",IF(ISERROR(MATCH($J2120,SorP!$B$1:$B$6226,0)),"",INDIRECT("'SorP'!$A$"&amp;MATCH($S2120&amp;$J2120,SorP!C:C,0))))</f>
        <v/>
      </c>
      <c r="U2120" s="168"/>
      <c r="V2120" s="169" t="e">
        <f>IF(C2120="",NA(),MATCH($B2120&amp;$C2120,'Smelter Look-up'!$J:$J,0))</f>
        <v>#N/A</v>
      </c>
      <c r="X2120" s="170">
        <f t="shared" ca="1" si="168"/>
        <v>0</v>
      </c>
      <c r="AB2120" s="313" t="str">
        <f t="shared" si="170"/>
        <v/>
      </c>
      <c r="AC2120" s="170" t="str">
        <f t="shared" si="171"/>
        <v/>
      </c>
      <c r="AD2120" s="170" t="str">
        <f t="shared" si="172"/>
        <v/>
      </c>
    </row>
    <row r="2121" spans="1:30" s="170" customFormat="1" ht="20.399999999999999">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69"/>
        <v/>
      </c>
      <c r="T2121" s="155" t="str">
        <f ca="1">IF(B2121="","",IF(ISERROR(MATCH($J2121,SorP!$B$1:$B$6226,0)),"",INDIRECT("'SorP'!$A$"&amp;MATCH($S2121&amp;$J2121,SorP!C:C,0))))</f>
        <v/>
      </c>
      <c r="U2121" s="168"/>
      <c r="V2121" s="169" t="e">
        <f>IF(C2121="",NA(),MATCH($B2121&amp;$C2121,'Smelter Look-up'!$J:$J,0))</f>
        <v>#N/A</v>
      </c>
      <c r="X2121" s="170">
        <f t="shared" ca="1" si="168"/>
        <v>0</v>
      </c>
      <c r="AB2121" s="313" t="str">
        <f t="shared" si="170"/>
        <v/>
      </c>
      <c r="AC2121" s="170" t="str">
        <f t="shared" si="171"/>
        <v/>
      </c>
      <c r="AD2121" s="170" t="str">
        <f t="shared" si="172"/>
        <v/>
      </c>
    </row>
    <row r="2122" spans="1:30" s="170" customFormat="1" ht="20.399999999999999">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69"/>
        <v/>
      </c>
      <c r="T2122" s="155" t="str">
        <f ca="1">IF(B2122="","",IF(ISERROR(MATCH($J2122,SorP!$B$1:$B$6226,0)),"",INDIRECT("'SorP'!$A$"&amp;MATCH($S2122&amp;$J2122,SorP!C:C,0))))</f>
        <v/>
      </c>
      <c r="U2122" s="168"/>
      <c r="V2122" s="169" t="e">
        <f>IF(C2122="",NA(),MATCH($B2122&amp;$C2122,'Smelter Look-up'!$J:$J,0))</f>
        <v>#N/A</v>
      </c>
      <c r="X2122" s="170">
        <f t="shared" ca="1" si="168"/>
        <v>0</v>
      </c>
      <c r="AB2122" s="313" t="str">
        <f t="shared" si="170"/>
        <v/>
      </c>
      <c r="AC2122" s="170" t="str">
        <f t="shared" si="171"/>
        <v/>
      </c>
      <c r="AD2122" s="170" t="str">
        <f t="shared" si="172"/>
        <v/>
      </c>
    </row>
    <row r="2123" spans="1:30" s="170" customFormat="1" ht="20.399999999999999">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69"/>
        <v/>
      </c>
      <c r="T2123" s="155" t="str">
        <f ca="1">IF(B2123="","",IF(ISERROR(MATCH($J2123,SorP!$B$1:$B$6226,0)),"",INDIRECT("'SorP'!$A$"&amp;MATCH($S2123&amp;$J2123,SorP!C:C,0))))</f>
        <v/>
      </c>
      <c r="U2123" s="168"/>
      <c r="V2123" s="169" t="e">
        <f>IF(C2123="",NA(),MATCH($B2123&amp;$C2123,'Smelter Look-up'!$J:$J,0))</f>
        <v>#N/A</v>
      </c>
      <c r="X2123" s="170">
        <f t="shared" ca="1" si="168"/>
        <v>0</v>
      </c>
      <c r="AB2123" s="313" t="str">
        <f t="shared" si="170"/>
        <v/>
      </c>
      <c r="AC2123" s="170" t="str">
        <f t="shared" si="171"/>
        <v/>
      </c>
      <c r="AD2123" s="170" t="str">
        <f t="shared" si="172"/>
        <v/>
      </c>
    </row>
    <row r="2124" spans="1:30" s="170" customFormat="1" ht="20.399999999999999">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69"/>
        <v/>
      </c>
      <c r="T2124" s="155" t="str">
        <f ca="1">IF(B2124="","",IF(ISERROR(MATCH($J2124,SorP!$B$1:$B$6226,0)),"",INDIRECT("'SorP'!$A$"&amp;MATCH($S2124&amp;$J2124,SorP!C:C,0))))</f>
        <v/>
      </c>
      <c r="U2124" s="168"/>
      <c r="V2124" s="169" t="e">
        <f>IF(C2124="",NA(),MATCH($B2124&amp;$C2124,'Smelter Look-up'!$J:$J,0))</f>
        <v>#N/A</v>
      </c>
      <c r="X2124" s="170">
        <f t="shared" ca="1" si="168"/>
        <v>0</v>
      </c>
      <c r="AB2124" s="313" t="str">
        <f t="shared" si="170"/>
        <v/>
      </c>
      <c r="AC2124" s="170" t="str">
        <f t="shared" si="171"/>
        <v/>
      </c>
      <c r="AD2124" s="170" t="str">
        <f t="shared" si="172"/>
        <v/>
      </c>
    </row>
    <row r="2125" spans="1:30" s="170" customFormat="1" ht="20.399999999999999">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69"/>
        <v/>
      </c>
      <c r="T2125" s="155" t="str">
        <f ca="1">IF(B2125="","",IF(ISERROR(MATCH($J2125,SorP!$B$1:$B$6226,0)),"",INDIRECT("'SorP'!$A$"&amp;MATCH($S2125&amp;$J2125,SorP!C:C,0))))</f>
        <v/>
      </c>
      <c r="U2125" s="168"/>
      <c r="V2125" s="169" t="e">
        <f>IF(C2125="",NA(),MATCH($B2125&amp;$C2125,'Smelter Look-up'!$J:$J,0))</f>
        <v>#N/A</v>
      </c>
      <c r="X2125" s="170">
        <f t="shared" ca="1" si="168"/>
        <v>0</v>
      </c>
      <c r="AB2125" s="313" t="str">
        <f t="shared" si="170"/>
        <v/>
      </c>
      <c r="AC2125" s="170" t="str">
        <f t="shared" si="171"/>
        <v/>
      </c>
      <c r="AD2125" s="170" t="str">
        <f t="shared" si="172"/>
        <v/>
      </c>
    </row>
    <row r="2126" spans="1:30" s="170" customFormat="1" ht="20.399999999999999">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69"/>
        <v/>
      </c>
      <c r="T2126" s="155" t="str">
        <f ca="1">IF(B2126="","",IF(ISERROR(MATCH($J2126,SorP!$B$1:$B$6226,0)),"",INDIRECT("'SorP'!$A$"&amp;MATCH($S2126&amp;$J2126,SorP!C:C,0))))</f>
        <v/>
      </c>
      <c r="U2126" s="168"/>
      <c r="V2126" s="169" t="e">
        <f>IF(C2126="",NA(),MATCH($B2126&amp;$C2126,'Smelter Look-up'!$J:$J,0))</f>
        <v>#N/A</v>
      </c>
      <c r="X2126" s="170">
        <f t="shared" ca="1" si="168"/>
        <v>0</v>
      </c>
      <c r="AB2126" s="313" t="str">
        <f t="shared" si="170"/>
        <v/>
      </c>
      <c r="AC2126" s="170" t="str">
        <f t="shared" si="171"/>
        <v/>
      </c>
      <c r="AD2126" s="170" t="str">
        <f t="shared" si="172"/>
        <v/>
      </c>
    </row>
    <row r="2127" spans="1:30" s="170" customFormat="1" ht="20.399999999999999">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69"/>
        <v/>
      </c>
      <c r="T2127" s="155" t="str">
        <f ca="1">IF(B2127="","",IF(ISERROR(MATCH($J2127,SorP!$B$1:$B$6226,0)),"",INDIRECT("'SorP'!$A$"&amp;MATCH($S2127&amp;$J2127,SorP!C:C,0))))</f>
        <v/>
      </c>
      <c r="U2127" s="168"/>
      <c r="V2127" s="169" t="e">
        <f>IF(C2127="",NA(),MATCH($B2127&amp;$C2127,'Smelter Look-up'!$J:$J,0))</f>
        <v>#N/A</v>
      </c>
      <c r="X2127" s="170">
        <f t="shared" ca="1" si="168"/>
        <v>0</v>
      </c>
      <c r="AB2127" s="313" t="str">
        <f t="shared" si="170"/>
        <v/>
      </c>
      <c r="AC2127" s="170" t="str">
        <f t="shared" si="171"/>
        <v/>
      </c>
      <c r="AD2127" s="170" t="str">
        <f t="shared" si="172"/>
        <v/>
      </c>
    </row>
    <row r="2128" spans="1:30" s="170" customFormat="1" ht="20.399999999999999">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69"/>
        <v/>
      </c>
      <c r="T2128" s="155" t="str">
        <f ca="1">IF(B2128="","",IF(ISERROR(MATCH($J2128,SorP!$B$1:$B$6226,0)),"",INDIRECT("'SorP'!$A$"&amp;MATCH($S2128&amp;$J2128,SorP!C:C,0))))</f>
        <v/>
      </c>
      <c r="U2128" s="168"/>
      <c r="V2128" s="169" t="e">
        <f>IF(C2128="",NA(),MATCH($B2128&amp;$C2128,'Smelter Look-up'!$J:$J,0))</f>
        <v>#N/A</v>
      </c>
      <c r="X2128" s="170">
        <f t="shared" ca="1" si="168"/>
        <v>0</v>
      </c>
      <c r="AB2128" s="313" t="str">
        <f t="shared" si="170"/>
        <v/>
      </c>
      <c r="AC2128" s="170" t="str">
        <f t="shared" si="171"/>
        <v/>
      </c>
      <c r="AD2128" s="170" t="str">
        <f t="shared" si="172"/>
        <v/>
      </c>
    </row>
    <row r="2129" spans="1:30" s="170" customFormat="1" ht="20.399999999999999">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69"/>
        <v/>
      </c>
      <c r="T2129" s="155" t="str">
        <f ca="1">IF(B2129="","",IF(ISERROR(MATCH($J2129,SorP!$B$1:$B$6226,0)),"",INDIRECT("'SorP'!$A$"&amp;MATCH($S2129&amp;$J2129,SorP!C:C,0))))</f>
        <v/>
      </c>
      <c r="U2129" s="168"/>
      <c r="V2129" s="169" t="e">
        <f>IF(C2129="",NA(),MATCH($B2129&amp;$C2129,'Smelter Look-up'!$J:$J,0))</f>
        <v>#N/A</v>
      </c>
      <c r="X2129" s="170">
        <f t="shared" ca="1" si="168"/>
        <v>0</v>
      </c>
      <c r="AB2129" s="313" t="str">
        <f t="shared" si="170"/>
        <v/>
      </c>
      <c r="AC2129" s="170" t="str">
        <f t="shared" si="171"/>
        <v/>
      </c>
      <c r="AD2129" s="170" t="str">
        <f t="shared" si="172"/>
        <v/>
      </c>
    </row>
    <row r="2130" spans="1:30" s="170" customFormat="1" ht="20.399999999999999">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69"/>
        <v/>
      </c>
      <c r="T2130" s="155" t="str">
        <f ca="1">IF(B2130="","",IF(ISERROR(MATCH($J2130,SorP!$B$1:$B$6226,0)),"",INDIRECT("'SorP'!$A$"&amp;MATCH($S2130&amp;$J2130,SorP!C:C,0))))</f>
        <v/>
      </c>
      <c r="U2130" s="168"/>
      <c r="V2130" s="169" t="e">
        <f>IF(C2130="",NA(),MATCH($B2130&amp;$C2130,'Smelter Look-up'!$J:$J,0))</f>
        <v>#N/A</v>
      </c>
      <c r="X2130" s="170">
        <f t="shared" ca="1" si="168"/>
        <v>0</v>
      </c>
      <c r="AB2130" s="313" t="str">
        <f t="shared" si="170"/>
        <v/>
      </c>
      <c r="AC2130" s="170" t="str">
        <f t="shared" si="171"/>
        <v/>
      </c>
      <c r="AD2130" s="170" t="str">
        <f t="shared" si="172"/>
        <v/>
      </c>
    </row>
    <row r="2131" spans="1:30" s="170" customFormat="1" ht="20.399999999999999">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69"/>
        <v/>
      </c>
      <c r="T2131" s="155" t="str">
        <f ca="1">IF(B2131="","",IF(ISERROR(MATCH($J2131,SorP!$B$1:$B$6226,0)),"",INDIRECT("'SorP'!$A$"&amp;MATCH($S2131&amp;$J2131,SorP!C:C,0))))</f>
        <v/>
      </c>
      <c r="U2131" s="168"/>
      <c r="V2131" s="169" t="e">
        <f>IF(C2131="",NA(),MATCH($B2131&amp;$C2131,'Smelter Look-up'!$J:$J,0))</f>
        <v>#N/A</v>
      </c>
      <c r="X2131" s="170">
        <f t="shared" ca="1" si="168"/>
        <v>0</v>
      </c>
      <c r="AB2131" s="313" t="str">
        <f t="shared" si="170"/>
        <v/>
      </c>
      <c r="AC2131" s="170" t="str">
        <f t="shared" si="171"/>
        <v/>
      </c>
      <c r="AD2131" s="170" t="str">
        <f t="shared" si="172"/>
        <v/>
      </c>
    </row>
    <row r="2132" spans="1:30" s="170" customFormat="1" ht="20.399999999999999">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69"/>
        <v/>
      </c>
      <c r="T2132" s="155" t="str">
        <f ca="1">IF(B2132="","",IF(ISERROR(MATCH($J2132,SorP!$B$1:$B$6226,0)),"",INDIRECT("'SorP'!$A$"&amp;MATCH($S2132&amp;$J2132,SorP!C:C,0))))</f>
        <v/>
      </c>
      <c r="U2132" s="168"/>
      <c r="V2132" s="169" t="e">
        <f>IF(C2132="",NA(),MATCH($B2132&amp;$C2132,'Smelter Look-up'!$J:$J,0))</f>
        <v>#N/A</v>
      </c>
      <c r="X2132" s="170">
        <f t="shared" ca="1" si="168"/>
        <v>0</v>
      </c>
      <c r="AB2132" s="313" t="str">
        <f t="shared" si="170"/>
        <v/>
      </c>
      <c r="AC2132" s="170" t="str">
        <f t="shared" si="171"/>
        <v/>
      </c>
      <c r="AD2132" s="170" t="str">
        <f t="shared" si="172"/>
        <v/>
      </c>
    </row>
    <row r="2133" spans="1:30" s="170" customFormat="1" ht="20.399999999999999">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69"/>
        <v/>
      </c>
      <c r="T2133" s="155" t="str">
        <f ca="1">IF(B2133="","",IF(ISERROR(MATCH($J2133,SorP!$B$1:$B$6226,0)),"",INDIRECT("'SorP'!$A$"&amp;MATCH($S2133&amp;$J2133,SorP!C:C,0))))</f>
        <v/>
      </c>
      <c r="U2133" s="168"/>
      <c r="V2133" s="169" t="e">
        <f>IF(C2133="",NA(),MATCH($B2133&amp;$C2133,'Smelter Look-up'!$J:$J,0))</f>
        <v>#N/A</v>
      </c>
      <c r="X2133" s="170">
        <f t="shared" ca="1" si="168"/>
        <v>0</v>
      </c>
      <c r="AB2133" s="313" t="str">
        <f t="shared" si="170"/>
        <v/>
      </c>
      <c r="AC2133" s="170" t="str">
        <f t="shared" si="171"/>
        <v/>
      </c>
      <c r="AD2133" s="170" t="str">
        <f t="shared" si="172"/>
        <v/>
      </c>
    </row>
    <row r="2134" spans="1:30" s="170" customFormat="1" ht="20.399999999999999">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69"/>
        <v/>
      </c>
      <c r="T2134" s="155" t="str">
        <f ca="1">IF(B2134="","",IF(ISERROR(MATCH($J2134,SorP!$B$1:$B$6226,0)),"",INDIRECT("'SorP'!$A$"&amp;MATCH($S2134&amp;$J2134,SorP!C:C,0))))</f>
        <v/>
      </c>
      <c r="U2134" s="168"/>
      <c r="V2134" s="169" t="e">
        <f>IF(C2134="",NA(),MATCH($B2134&amp;$C2134,'Smelter Look-up'!$J:$J,0))</f>
        <v>#N/A</v>
      </c>
      <c r="X2134" s="170">
        <f t="shared" ca="1" si="168"/>
        <v>0</v>
      </c>
      <c r="AB2134" s="313" t="str">
        <f t="shared" si="170"/>
        <v/>
      </c>
      <c r="AC2134" s="170" t="str">
        <f t="shared" si="171"/>
        <v/>
      </c>
      <c r="AD2134" s="170" t="str">
        <f t="shared" si="172"/>
        <v/>
      </c>
    </row>
    <row r="2135" spans="1:30" s="170" customFormat="1" ht="20.399999999999999">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69"/>
        <v/>
      </c>
      <c r="T2135" s="155" t="str">
        <f ca="1">IF(B2135="","",IF(ISERROR(MATCH($J2135,SorP!$B$1:$B$6226,0)),"",INDIRECT("'SorP'!$A$"&amp;MATCH($S2135&amp;$J2135,SorP!C:C,0))))</f>
        <v/>
      </c>
      <c r="U2135" s="168"/>
      <c r="V2135" s="169" t="e">
        <f>IF(C2135="",NA(),MATCH($B2135&amp;$C2135,'Smelter Look-up'!$J:$J,0))</f>
        <v>#N/A</v>
      </c>
      <c r="X2135" s="170">
        <f t="shared" ca="1" si="168"/>
        <v>0</v>
      </c>
      <c r="AB2135" s="313" t="str">
        <f t="shared" si="170"/>
        <v/>
      </c>
      <c r="AC2135" s="170" t="str">
        <f t="shared" si="171"/>
        <v/>
      </c>
      <c r="AD2135" s="170" t="str">
        <f t="shared" si="172"/>
        <v/>
      </c>
    </row>
    <row r="2136" spans="1:30" s="170" customFormat="1" ht="20.399999999999999">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69"/>
        <v/>
      </c>
      <c r="T2136" s="155" t="str">
        <f ca="1">IF(B2136="","",IF(ISERROR(MATCH($J2136,SorP!$B$1:$B$6226,0)),"",INDIRECT("'SorP'!$A$"&amp;MATCH($S2136&amp;$J2136,SorP!C:C,0))))</f>
        <v/>
      </c>
      <c r="U2136" s="168"/>
      <c r="V2136" s="169" t="e">
        <f>IF(C2136="",NA(),MATCH($B2136&amp;$C2136,'Smelter Look-up'!$J:$J,0))</f>
        <v>#N/A</v>
      </c>
      <c r="X2136" s="170">
        <f t="shared" ca="1" si="168"/>
        <v>0</v>
      </c>
      <c r="AB2136" s="313" t="str">
        <f t="shared" si="170"/>
        <v/>
      </c>
      <c r="AC2136" s="170" t="str">
        <f t="shared" si="171"/>
        <v/>
      </c>
      <c r="AD2136" s="170" t="str">
        <f t="shared" si="172"/>
        <v/>
      </c>
    </row>
    <row r="2137" spans="1:30" s="170" customFormat="1" ht="20.399999999999999">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69"/>
        <v/>
      </c>
      <c r="T2137" s="155" t="str">
        <f ca="1">IF(B2137="","",IF(ISERROR(MATCH($J2137,SorP!$B$1:$B$6226,0)),"",INDIRECT("'SorP'!$A$"&amp;MATCH($S2137&amp;$J2137,SorP!C:C,0))))</f>
        <v/>
      </c>
      <c r="U2137" s="168"/>
      <c r="V2137" s="169" t="e">
        <f>IF(C2137="",NA(),MATCH($B2137&amp;$C2137,'Smelter Look-up'!$J:$J,0))</f>
        <v>#N/A</v>
      </c>
      <c r="X2137" s="170">
        <f t="shared" ca="1" si="168"/>
        <v>0</v>
      </c>
      <c r="AB2137" s="313" t="str">
        <f t="shared" si="170"/>
        <v/>
      </c>
      <c r="AC2137" s="170" t="str">
        <f t="shared" si="171"/>
        <v/>
      </c>
      <c r="AD2137" s="170" t="str">
        <f t="shared" si="172"/>
        <v/>
      </c>
    </row>
    <row r="2138" spans="1:30" s="170" customFormat="1" ht="20.399999999999999">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69"/>
        <v/>
      </c>
      <c r="T2138" s="155" t="str">
        <f ca="1">IF(B2138="","",IF(ISERROR(MATCH($J2138,SorP!$B$1:$B$6226,0)),"",INDIRECT("'SorP'!$A$"&amp;MATCH($S2138&amp;$J2138,SorP!C:C,0))))</f>
        <v/>
      </c>
      <c r="U2138" s="168"/>
      <c r="V2138" s="169" t="e">
        <f>IF(C2138="",NA(),MATCH($B2138&amp;$C2138,'Smelter Look-up'!$J:$J,0))</f>
        <v>#N/A</v>
      </c>
      <c r="X2138" s="170">
        <f t="shared" ca="1" si="168"/>
        <v>0</v>
      </c>
      <c r="AB2138" s="313" t="str">
        <f t="shared" si="170"/>
        <v/>
      </c>
      <c r="AC2138" s="170" t="str">
        <f t="shared" si="171"/>
        <v/>
      </c>
      <c r="AD2138" s="170" t="str">
        <f t="shared" si="172"/>
        <v/>
      </c>
    </row>
    <row r="2139" spans="1:30" s="170" customFormat="1" ht="20.399999999999999">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69"/>
        <v/>
      </c>
      <c r="T2139" s="155" t="str">
        <f ca="1">IF(B2139="","",IF(ISERROR(MATCH($J2139,SorP!$B$1:$B$6226,0)),"",INDIRECT("'SorP'!$A$"&amp;MATCH($S2139&amp;$J2139,SorP!C:C,0))))</f>
        <v/>
      </c>
      <c r="U2139" s="168"/>
      <c r="V2139" s="169" t="e">
        <f>IF(C2139="",NA(),MATCH($B2139&amp;$C2139,'Smelter Look-up'!$J:$J,0))</f>
        <v>#N/A</v>
      </c>
      <c r="X2139" s="170">
        <f t="shared" ca="1" si="168"/>
        <v>0</v>
      </c>
      <c r="AB2139" s="313" t="str">
        <f t="shared" si="170"/>
        <v/>
      </c>
      <c r="AC2139" s="170" t="str">
        <f t="shared" si="171"/>
        <v/>
      </c>
      <c r="AD2139" s="170" t="str">
        <f t="shared" si="172"/>
        <v/>
      </c>
    </row>
    <row r="2140" spans="1:30" s="170" customFormat="1" ht="20.399999999999999">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69"/>
        <v/>
      </c>
      <c r="T2140" s="155" t="str">
        <f ca="1">IF(B2140="","",IF(ISERROR(MATCH($J2140,SorP!$B$1:$B$6226,0)),"",INDIRECT("'SorP'!$A$"&amp;MATCH($S2140&amp;$J2140,SorP!C:C,0))))</f>
        <v/>
      </c>
      <c r="U2140" s="168"/>
      <c r="V2140" s="169" t="e">
        <f>IF(C2140="",NA(),MATCH($B2140&amp;$C2140,'Smelter Look-up'!$J:$J,0))</f>
        <v>#N/A</v>
      </c>
      <c r="X2140" s="170">
        <f t="shared" ca="1" si="168"/>
        <v>0</v>
      </c>
      <c r="AB2140" s="313" t="str">
        <f t="shared" si="170"/>
        <v/>
      </c>
      <c r="AC2140" s="170" t="str">
        <f t="shared" si="171"/>
        <v/>
      </c>
      <c r="AD2140" s="170" t="str">
        <f t="shared" si="172"/>
        <v/>
      </c>
    </row>
    <row r="2141" spans="1:30" s="170" customFormat="1" ht="20.399999999999999">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69"/>
        <v/>
      </c>
      <c r="T2141" s="155" t="str">
        <f ca="1">IF(B2141="","",IF(ISERROR(MATCH($J2141,SorP!$B$1:$B$6226,0)),"",INDIRECT("'SorP'!$A$"&amp;MATCH($S2141&amp;$J2141,SorP!C:C,0))))</f>
        <v/>
      </c>
      <c r="U2141" s="168"/>
      <c r="V2141" s="169" t="e">
        <f>IF(C2141="",NA(),MATCH($B2141&amp;$C2141,'Smelter Look-up'!$J:$J,0))</f>
        <v>#N/A</v>
      </c>
      <c r="X2141" s="170">
        <f t="shared" ca="1" si="168"/>
        <v>0</v>
      </c>
      <c r="AB2141" s="313" t="str">
        <f t="shared" si="170"/>
        <v/>
      </c>
      <c r="AC2141" s="170" t="str">
        <f t="shared" si="171"/>
        <v/>
      </c>
      <c r="AD2141" s="170" t="str">
        <f t="shared" si="172"/>
        <v/>
      </c>
    </row>
    <row r="2142" spans="1:30" s="170" customFormat="1" ht="20.399999999999999">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69"/>
        <v/>
      </c>
      <c r="T2142" s="155" t="str">
        <f ca="1">IF(B2142="","",IF(ISERROR(MATCH($J2142,SorP!$B$1:$B$6226,0)),"",INDIRECT("'SorP'!$A$"&amp;MATCH($S2142&amp;$J2142,SorP!C:C,0))))</f>
        <v/>
      </c>
      <c r="U2142" s="168"/>
      <c r="V2142" s="169" t="e">
        <f>IF(C2142="",NA(),MATCH($B2142&amp;$C2142,'Smelter Look-up'!$J:$J,0))</f>
        <v>#N/A</v>
      </c>
      <c r="X2142" s="170">
        <f t="shared" ca="1" si="168"/>
        <v>0</v>
      </c>
      <c r="AB2142" s="313" t="str">
        <f t="shared" si="170"/>
        <v/>
      </c>
      <c r="AC2142" s="170" t="str">
        <f t="shared" si="171"/>
        <v/>
      </c>
      <c r="AD2142" s="170" t="str">
        <f t="shared" si="172"/>
        <v/>
      </c>
    </row>
    <row r="2143" spans="1:30" s="170" customFormat="1" ht="20.399999999999999">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69"/>
        <v/>
      </c>
      <c r="T2143" s="155" t="str">
        <f ca="1">IF(B2143="","",IF(ISERROR(MATCH($J2143,SorP!$B$1:$B$6226,0)),"",INDIRECT("'SorP'!$A$"&amp;MATCH($S2143&amp;$J2143,SorP!C:C,0))))</f>
        <v/>
      </c>
      <c r="U2143" s="168"/>
      <c r="V2143" s="169" t="e">
        <f>IF(C2143="",NA(),MATCH($B2143&amp;$C2143,'Smelter Look-up'!$J:$J,0))</f>
        <v>#N/A</v>
      </c>
      <c r="X2143" s="170">
        <f t="shared" ca="1" si="168"/>
        <v>0</v>
      </c>
      <c r="AB2143" s="313" t="str">
        <f t="shared" si="170"/>
        <v/>
      </c>
      <c r="AC2143" s="170" t="str">
        <f t="shared" si="171"/>
        <v/>
      </c>
      <c r="AD2143" s="170" t="str">
        <f t="shared" si="172"/>
        <v/>
      </c>
    </row>
    <row r="2144" spans="1:30" s="170" customFormat="1" ht="20.399999999999999">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69"/>
        <v/>
      </c>
      <c r="T2144" s="155" t="str">
        <f ca="1">IF(B2144="","",IF(ISERROR(MATCH($J2144,SorP!$B$1:$B$6226,0)),"",INDIRECT("'SorP'!$A$"&amp;MATCH($S2144&amp;$J2144,SorP!C:C,0))))</f>
        <v/>
      </c>
      <c r="U2144" s="168"/>
      <c r="V2144" s="169" t="e">
        <f>IF(C2144="",NA(),MATCH($B2144&amp;$C2144,'Smelter Look-up'!$J:$J,0))</f>
        <v>#N/A</v>
      </c>
      <c r="X2144" s="170">
        <f t="shared" ca="1" si="168"/>
        <v>0</v>
      </c>
      <c r="AB2144" s="313" t="str">
        <f t="shared" si="170"/>
        <v/>
      </c>
      <c r="AC2144" s="170" t="str">
        <f t="shared" si="171"/>
        <v/>
      </c>
      <c r="AD2144" s="170" t="str">
        <f t="shared" si="172"/>
        <v/>
      </c>
    </row>
    <row r="2145" spans="1:30" s="170" customFormat="1" ht="20.399999999999999">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69"/>
        <v/>
      </c>
      <c r="T2145" s="155" t="str">
        <f ca="1">IF(B2145="","",IF(ISERROR(MATCH($J2145,SorP!$B$1:$B$6226,0)),"",INDIRECT("'SorP'!$A$"&amp;MATCH($S2145&amp;$J2145,SorP!C:C,0))))</f>
        <v/>
      </c>
      <c r="U2145" s="168"/>
      <c r="V2145" s="169" t="e">
        <f>IF(C2145="",NA(),MATCH($B2145&amp;$C2145,'Smelter Look-up'!$J:$J,0))</f>
        <v>#N/A</v>
      </c>
      <c r="X2145" s="170">
        <f t="shared" ca="1" si="168"/>
        <v>0</v>
      </c>
      <c r="AB2145" s="313" t="str">
        <f t="shared" si="170"/>
        <v/>
      </c>
      <c r="AC2145" s="170" t="str">
        <f t="shared" si="171"/>
        <v/>
      </c>
      <c r="AD2145" s="170" t="str">
        <f t="shared" si="172"/>
        <v/>
      </c>
    </row>
    <row r="2146" spans="1:30" s="170" customFormat="1" ht="20.399999999999999">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69"/>
        <v/>
      </c>
      <c r="T2146" s="155" t="str">
        <f ca="1">IF(B2146="","",IF(ISERROR(MATCH($J2146,SorP!$B$1:$B$6226,0)),"",INDIRECT("'SorP'!$A$"&amp;MATCH($S2146&amp;$J2146,SorP!C:C,0))))</f>
        <v/>
      </c>
      <c r="U2146" s="168"/>
      <c r="V2146" s="169" t="e">
        <f>IF(C2146="",NA(),MATCH($B2146&amp;$C2146,'Smelter Look-up'!$J:$J,0))</f>
        <v>#N/A</v>
      </c>
      <c r="X2146" s="170">
        <f t="shared" ca="1" si="168"/>
        <v>0</v>
      </c>
      <c r="AB2146" s="313" t="str">
        <f t="shared" si="170"/>
        <v/>
      </c>
      <c r="AC2146" s="170" t="str">
        <f t="shared" si="171"/>
        <v/>
      </c>
      <c r="AD2146" s="170" t="str">
        <f t="shared" si="172"/>
        <v/>
      </c>
    </row>
    <row r="2147" spans="1:30" s="170" customFormat="1" ht="20.399999999999999">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69"/>
        <v/>
      </c>
      <c r="T2147" s="155" t="str">
        <f ca="1">IF(B2147="","",IF(ISERROR(MATCH($J2147,SorP!$B$1:$B$6226,0)),"",INDIRECT("'SorP'!$A$"&amp;MATCH($S2147&amp;$J2147,SorP!C:C,0))))</f>
        <v/>
      </c>
      <c r="U2147" s="168"/>
      <c r="V2147" s="169" t="e">
        <f>IF(C2147="",NA(),MATCH($B2147&amp;$C2147,'Smelter Look-up'!$J:$J,0))</f>
        <v>#N/A</v>
      </c>
      <c r="X2147" s="170">
        <f t="shared" ca="1" si="168"/>
        <v>0</v>
      </c>
      <c r="AB2147" s="313" t="str">
        <f t="shared" si="170"/>
        <v/>
      </c>
      <c r="AC2147" s="170" t="str">
        <f t="shared" si="171"/>
        <v/>
      </c>
      <c r="AD2147" s="170" t="str">
        <f t="shared" si="172"/>
        <v/>
      </c>
    </row>
    <row r="2148" spans="1:30" s="170" customFormat="1" ht="20.399999999999999">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69"/>
        <v/>
      </c>
      <c r="T2148" s="155" t="str">
        <f ca="1">IF(B2148="","",IF(ISERROR(MATCH($J2148,SorP!$B$1:$B$6226,0)),"",INDIRECT("'SorP'!$A$"&amp;MATCH($S2148&amp;$J2148,SorP!C:C,0))))</f>
        <v/>
      </c>
      <c r="U2148" s="168"/>
      <c r="V2148" s="169" t="e">
        <f>IF(C2148="",NA(),MATCH($B2148&amp;$C2148,'Smelter Look-up'!$J:$J,0))</f>
        <v>#N/A</v>
      </c>
      <c r="X2148" s="170">
        <f t="shared" ca="1" si="168"/>
        <v>0</v>
      </c>
      <c r="AB2148" s="313" t="str">
        <f t="shared" si="170"/>
        <v/>
      </c>
      <c r="AC2148" s="170" t="str">
        <f t="shared" si="171"/>
        <v/>
      </c>
      <c r="AD2148" s="170" t="str">
        <f t="shared" si="172"/>
        <v/>
      </c>
    </row>
    <row r="2149" spans="1:30" s="170" customFormat="1" ht="20.399999999999999">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69"/>
        <v/>
      </c>
      <c r="T2149" s="155" t="str">
        <f ca="1">IF(B2149="","",IF(ISERROR(MATCH($J2149,SorP!$B$1:$B$6226,0)),"",INDIRECT("'SorP'!$A$"&amp;MATCH($S2149&amp;$J2149,SorP!C:C,0))))</f>
        <v/>
      </c>
      <c r="U2149" s="168"/>
      <c r="V2149" s="169" t="e">
        <f>IF(C2149="",NA(),MATCH($B2149&amp;$C2149,'Smelter Look-up'!$J:$J,0))</f>
        <v>#N/A</v>
      </c>
      <c r="X2149" s="170">
        <f t="shared" ca="1" si="168"/>
        <v>0</v>
      </c>
      <c r="AB2149" s="313" t="str">
        <f t="shared" si="170"/>
        <v/>
      </c>
      <c r="AC2149" s="170" t="str">
        <f t="shared" si="171"/>
        <v/>
      </c>
      <c r="AD2149" s="170" t="str">
        <f t="shared" si="172"/>
        <v/>
      </c>
    </row>
    <row r="2150" spans="1:30" s="170" customFormat="1" ht="20.399999999999999">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69"/>
        <v/>
      </c>
      <c r="T2150" s="155" t="str">
        <f ca="1">IF(B2150="","",IF(ISERROR(MATCH($J2150,SorP!$B$1:$B$6226,0)),"",INDIRECT("'SorP'!$A$"&amp;MATCH($S2150&amp;$J2150,SorP!C:C,0))))</f>
        <v/>
      </c>
      <c r="U2150" s="168"/>
      <c r="V2150" s="169" t="e">
        <f>IF(C2150="",NA(),MATCH($B2150&amp;$C2150,'Smelter Look-up'!$J:$J,0))</f>
        <v>#N/A</v>
      </c>
      <c r="X2150" s="170">
        <f t="shared" ca="1" si="168"/>
        <v>0</v>
      </c>
      <c r="AB2150" s="313" t="str">
        <f t="shared" si="170"/>
        <v/>
      </c>
      <c r="AC2150" s="170" t="str">
        <f t="shared" si="171"/>
        <v/>
      </c>
      <c r="AD2150" s="170" t="str">
        <f t="shared" si="172"/>
        <v/>
      </c>
    </row>
    <row r="2151" spans="1:30" s="170" customFormat="1" ht="20.399999999999999">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69"/>
        <v/>
      </c>
      <c r="T2151" s="155" t="str">
        <f ca="1">IF(B2151="","",IF(ISERROR(MATCH($J2151,SorP!$B$1:$B$6226,0)),"",INDIRECT("'SorP'!$A$"&amp;MATCH($S2151&amp;$J2151,SorP!C:C,0))))</f>
        <v/>
      </c>
      <c r="U2151" s="168"/>
      <c r="V2151" s="169" t="e">
        <f>IF(C2151="",NA(),MATCH($B2151&amp;$C2151,'Smelter Look-up'!$J:$J,0))</f>
        <v>#N/A</v>
      </c>
      <c r="X2151" s="170">
        <f t="shared" ca="1" si="168"/>
        <v>0</v>
      </c>
      <c r="AB2151" s="313" t="str">
        <f t="shared" si="170"/>
        <v/>
      </c>
      <c r="AC2151" s="170" t="str">
        <f t="shared" si="171"/>
        <v/>
      </c>
      <c r="AD2151" s="170" t="str">
        <f t="shared" si="172"/>
        <v/>
      </c>
    </row>
    <row r="2152" spans="1:30" s="170" customFormat="1" ht="20.399999999999999">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69"/>
        <v/>
      </c>
      <c r="T2152" s="155" t="str">
        <f ca="1">IF(B2152="","",IF(ISERROR(MATCH($J2152,SorP!$B$1:$B$6226,0)),"",INDIRECT("'SorP'!$A$"&amp;MATCH($S2152&amp;$J2152,SorP!C:C,0))))</f>
        <v/>
      </c>
      <c r="U2152" s="168"/>
      <c r="V2152" s="169" t="e">
        <f>IF(C2152="",NA(),MATCH($B2152&amp;$C2152,'Smelter Look-up'!$J:$J,0))</f>
        <v>#N/A</v>
      </c>
      <c r="X2152" s="170">
        <f t="shared" ca="1" si="168"/>
        <v>0</v>
      </c>
      <c r="AB2152" s="313" t="str">
        <f t="shared" si="170"/>
        <v/>
      </c>
      <c r="AC2152" s="170" t="str">
        <f t="shared" si="171"/>
        <v/>
      </c>
      <c r="AD2152" s="170" t="str">
        <f t="shared" si="172"/>
        <v/>
      </c>
    </row>
    <row r="2153" spans="1:30" s="170" customFormat="1" ht="20.399999999999999">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69"/>
        <v/>
      </c>
      <c r="T2153" s="155" t="str">
        <f ca="1">IF(B2153="","",IF(ISERROR(MATCH($J2153,SorP!$B$1:$B$6226,0)),"",INDIRECT("'SorP'!$A$"&amp;MATCH($S2153&amp;$J2153,SorP!C:C,0))))</f>
        <v/>
      </c>
      <c r="U2153" s="168"/>
      <c r="V2153" s="169" t="e">
        <f>IF(C2153="",NA(),MATCH($B2153&amp;$C2153,'Smelter Look-up'!$J:$J,0))</f>
        <v>#N/A</v>
      </c>
      <c r="X2153" s="170">
        <f t="shared" ca="1" si="168"/>
        <v>0</v>
      </c>
      <c r="AB2153" s="313" t="str">
        <f t="shared" si="170"/>
        <v/>
      </c>
      <c r="AC2153" s="170" t="str">
        <f t="shared" si="171"/>
        <v/>
      </c>
      <c r="AD2153" s="170" t="str">
        <f t="shared" si="172"/>
        <v/>
      </c>
    </row>
    <row r="2154" spans="1:30" s="170" customFormat="1" ht="20.399999999999999">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69"/>
        <v/>
      </c>
      <c r="T2154" s="155" t="str">
        <f ca="1">IF(B2154="","",IF(ISERROR(MATCH($J2154,SorP!$B$1:$B$6226,0)),"",INDIRECT("'SorP'!$A$"&amp;MATCH($S2154&amp;$J2154,SorP!C:C,0))))</f>
        <v/>
      </c>
      <c r="U2154" s="168"/>
      <c r="V2154" s="169" t="e">
        <f>IF(C2154="",NA(),MATCH($B2154&amp;$C2154,'Smelter Look-up'!$J:$J,0))</f>
        <v>#N/A</v>
      </c>
      <c r="X2154" s="170">
        <f t="shared" ca="1" si="168"/>
        <v>0</v>
      </c>
      <c r="AB2154" s="313" t="str">
        <f t="shared" si="170"/>
        <v/>
      </c>
      <c r="AC2154" s="170" t="str">
        <f t="shared" si="171"/>
        <v/>
      </c>
      <c r="AD2154" s="170" t="str">
        <f t="shared" si="172"/>
        <v/>
      </c>
    </row>
    <row r="2155" spans="1:30" s="170" customFormat="1" ht="20.399999999999999">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69"/>
        <v/>
      </c>
      <c r="T2155" s="155" t="str">
        <f ca="1">IF(B2155="","",IF(ISERROR(MATCH($J2155,SorP!$B$1:$B$6226,0)),"",INDIRECT("'SorP'!$A$"&amp;MATCH($S2155&amp;$J2155,SorP!C:C,0))))</f>
        <v/>
      </c>
      <c r="U2155" s="168"/>
      <c r="V2155" s="169" t="e">
        <f>IF(C2155="",NA(),MATCH($B2155&amp;$C2155,'Smelter Look-up'!$J:$J,0))</f>
        <v>#N/A</v>
      </c>
      <c r="X2155" s="170">
        <f t="shared" ca="1" si="168"/>
        <v>0</v>
      </c>
      <c r="AB2155" s="313" t="str">
        <f t="shared" si="170"/>
        <v/>
      </c>
      <c r="AC2155" s="170" t="str">
        <f t="shared" si="171"/>
        <v/>
      </c>
      <c r="AD2155" s="170" t="str">
        <f t="shared" si="172"/>
        <v/>
      </c>
    </row>
    <row r="2156" spans="1:30" s="170" customFormat="1" ht="20.399999999999999">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69"/>
        <v/>
      </c>
      <c r="T2156" s="155" t="str">
        <f ca="1">IF(B2156="","",IF(ISERROR(MATCH($J2156,SorP!$B$1:$B$6226,0)),"",INDIRECT("'SorP'!$A$"&amp;MATCH($S2156&amp;$J2156,SorP!C:C,0))))</f>
        <v/>
      </c>
      <c r="U2156" s="168"/>
      <c r="V2156" s="169" t="e">
        <f>IF(C2156="",NA(),MATCH($B2156&amp;$C2156,'Smelter Look-up'!$J:$J,0))</f>
        <v>#N/A</v>
      </c>
      <c r="X2156" s="170">
        <f t="shared" ca="1" si="168"/>
        <v>0</v>
      </c>
      <c r="AB2156" s="313" t="str">
        <f t="shared" si="170"/>
        <v/>
      </c>
      <c r="AC2156" s="170" t="str">
        <f t="shared" si="171"/>
        <v/>
      </c>
      <c r="AD2156" s="170" t="str">
        <f t="shared" si="172"/>
        <v/>
      </c>
    </row>
    <row r="2157" spans="1:30" s="170" customFormat="1" ht="20.399999999999999">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69"/>
        <v/>
      </c>
      <c r="T2157" s="155" t="str">
        <f ca="1">IF(B2157="","",IF(ISERROR(MATCH($J2157,SorP!$B$1:$B$6226,0)),"",INDIRECT("'SorP'!$A$"&amp;MATCH($S2157&amp;$J2157,SorP!C:C,0))))</f>
        <v/>
      </c>
      <c r="U2157" s="168"/>
      <c r="V2157" s="169" t="e">
        <f>IF(C2157="",NA(),MATCH($B2157&amp;$C2157,'Smelter Look-up'!$J:$J,0))</f>
        <v>#N/A</v>
      </c>
      <c r="X2157" s="170">
        <f t="shared" ca="1" si="168"/>
        <v>0</v>
      </c>
      <c r="AB2157" s="313" t="str">
        <f t="shared" si="170"/>
        <v/>
      </c>
      <c r="AC2157" s="170" t="str">
        <f t="shared" si="171"/>
        <v/>
      </c>
      <c r="AD2157" s="170" t="str">
        <f t="shared" si="172"/>
        <v/>
      </c>
    </row>
    <row r="2158" spans="1:30" s="170" customFormat="1" ht="20.399999999999999">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69"/>
        <v/>
      </c>
      <c r="T2158" s="155" t="str">
        <f ca="1">IF(B2158="","",IF(ISERROR(MATCH($J2158,SorP!$B$1:$B$6226,0)),"",INDIRECT("'SorP'!$A$"&amp;MATCH($S2158&amp;$J2158,SorP!C:C,0))))</f>
        <v/>
      </c>
      <c r="U2158" s="168"/>
      <c r="V2158" s="169" t="e">
        <f>IF(C2158="",NA(),MATCH($B2158&amp;$C2158,'Smelter Look-up'!$J:$J,0))</f>
        <v>#N/A</v>
      </c>
      <c r="X2158" s="170">
        <f t="shared" ca="1" si="168"/>
        <v>0</v>
      </c>
      <c r="AB2158" s="313" t="str">
        <f t="shared" si="170"/>
        <v/>
      </c>
      <c r="AC2158" s="170" t="str">
        <f t="shared" si="171"/>
        <v/>
      </c>
      <c r="AD2158" s="170" t="str">
        <f t="shared" si="172"/>
        <v/>
      </c>
    </row>
    <row r="2159" spans="1:30" s="170" customFormat="1" ht="20.399999999999999">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69"/>
        <v/>
      </c>
      <c r="T2159" s="155" t="str">
        <f ca="1">IF(B2159="","",IF(ISERROR(MATCH($J2159,SorP!$B$1:$B$6226,0)),"",INDIRECT("'SorP'!$A$"&amp;MATCH($S2159&amp;$J2159,SorP!C:C,0))))</f>
        <v/>
      </c>
      <c r="U2159" s="168"/>
      <c r="V2159" s="169" t="e">
        <f>IF(C2159="",NA(),MATCH($B2159&amp;$C2159,'Smelter Look-up'!$J:$J,0))</f>
        <v>#N/A</v>
      </c>
      <c r="X2159" s="170">
        <f t="shared" ca="1" si="168"/>
        <v>0</v>
      </c>
      <c r="AB2159" s="313" t="str">
        <f t="shared" si="170"/>
        <v/>
      </c>
      <c r="AC2159" s="170" t="str">
        <f t="shared" si="171"/>
        <v/>
      </c>
      <c r="AD2159" s="170" t="str">
        <f t="shared" si="172"/>
        <v/>
      </c>
    </row>
    <row r="2160" spans="1:30" s="170" customFormat="1" ht="20.399999999999999">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69"/>
        <v/>
      </c>
      <c r="T2160" s="155" t="str">
        <f ca="1">IF(B2160="","",IF(ISERROR(MATCH($J2160,SorP!$B$1:$B$6226,0)),"",INDIRECT("'SorP'!$A$"&amp;MATCH($S2160&amp;$J2160,SorP!C:C,0))))</f>
        <v/>
      </c>
      <c r="U2160" s="168"/>
      <c r="V2160" s="169" t="e">
        <f>IF(C2160="",NA(),MATCH($B2160&amp;$C2160,'Smelter Look-up'!$J:$J,0))</f>
        <v>#N/A</v>
      </c>
      <c r="X2160" s="170">
        <f t="shared" ca="1" si="168"/>
        <v>0</v>
      </c>
      <c r="AB2160" s="313" t="str">
        <f t="shared" si="170"/>
        <v/>
      </c>
      <c r="AC2160" s="170" t="str">
        <f t="shared" si="171"/>
        <v/>
      </c>
      <c r="AD2160" s="170" t="str">
        <f t="shared" si="172"/>
        <v/>
      </c>
    </row>
    <row r="2161" spans="1:30" s="170" customFormat="1" ht="20.399999999999999">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69"/>
        <v/>
      </c>
      <c r="T2161" s="155" t="str">
        <f ca="1">IF(B2161="","",IF(ISERROR(MATCH($J2161,SorP!$B$1:$B$6226,0)),"",INDIRECT("'SorP'!$A$"&amp;MATCH($S2161&amp;$J2161,SorP!C:C,0))))</f>
        <v/>
      </c>
      <c r="U2161" s="168"/>
      <c r="V2161" s="169" t="e">
        <f>IF(C2161="",NA(),MATCH($B2161&amp;$C2161,'Smelter Look-up'!$J:$J,0))</f>
        <v>#N/A</v>
      </c>
      <c r="X2161" s="170">
        <f t="shared" ca="1" si="168"/>
        <v>0</v>
      </c>
      <c r="AB2161" s="313" t="str">
        <f t="shared" si="170"/>
        <v/>
      </c>
      <c r="AC2161" s="170" t="str">
        <f t="shared" si="171"/>
        <v/>
      </c>
      <c r="AD2161" s="170" t="str">
        <f t="shared" si="172"/>
        <v/>
      </c>
    </row>
    <row r="2162" spans="1:30" s="170" customFormat="1" ht="20.399999999999999">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69"/>
        <v/>
      </c>
      <c r="T2162" s="155" t="str">
        <f ca="1">IF(B2162="","",IF(ISERROR(MATCH($J2162,SorP!$B$1:$B$6226,0)),"",INDIRECT("'SorP'!$A$"&amp;MATCH($S2162&amp;$J2162,SorP!C:C,0))))</f>
        <v/>
      </c>
      <c r="U2162" s="168"/>
      <c r="V2162" s="169" t="e">
        <f>IF(C2162="",NA(),MATCH($B2162&amp;$C2162,'Smelter Look-up'!$J:$J,0))</f>
        <v>#N/A</v>
      </c>
      <c r="X2162" s="170">
        <f t="shared" ca="1" si="168"/>
        <v>0</v>
      </c>
      <c r="AB2162" s="313" t="str">
        <f t="shared" si="170"/>
        <v/>
      </c>
      <c r="AC2162" s="170" t="str">
        <f t="shared" si="171"/>
        <v/>
      </c>
      <c r="AD2162" s="170" t="str">
        <f t="shared" si="172"/>
        <v/>
      </c>
    </row>
    <row r="2163" spans="1:30" s="170" customFormat="1" ht="20.399999999999999">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69"/>
        <v/>
      </c>
      <c r="T2163" s="155" t="str">
        <f ca="1">IF(B2163="","",IF(ISERROR(MATCH($J2163,SorP!$B$1:$B$6226,0)),"",INDIRECT("'SorP'!$A$"&amp;MATCH($S2163&amp;$J2163,SorP!C:C,0))))</f>
        <v/>
      </c>
      <c r="U2163" s="168"/>
      <c r="V2163" s="169" t="e">
        <f>IF(C2163="",NA(),MATCH($B2163&amp;$C2163,'Smelter Look-up'!$J:$J,0))</f>
        <v>#N/A</v>
      </c>
      <c r="X2163" s="170">
        <f t="shared" ca="1" si="168"/>
        <v>0</v>
      </c>
      <c r="AB2163" s="313" t="str">
        <f t="shared" si="170"/>
        <v/>
      </c>
      <c r="AC2163" s="170" t="str">
        <f t="shared" si="171"/>
        <v/>
      </c>
      <c r="AD2163" s="170" t="str">
        <f t="shared" si="172"/>
        <v/>
      </c>
    </row>
    <row r="2164" spans="1:30" s="170" customFormat="1" ht="20.399999999999999">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69"/>
        <v/>
      </c>
      <c r="T2164" s="155" t="str">
        <f ca="1">IF(B2164="","",IF(ISERROR(MATCH($J2164,SorP!$B$1:$B$6226,0)),"",INDIRECT("'SorP'!$A$"&amp;MATCH($S2164&amp;$J2164,SorP!C:C,0))))</f>
        <v/>
      </c>
      <c r="U2164" s="168"/>
      <c r="V2164" s="169" t="e">
        <f>IF(C2164="",NA(),MATCH($B2164&amp;$C2164,'Smelter Look-up'!$J:$J,0))</f>
        <v>#N/A</v>
      </c>
      <c r="X2164" s="170">
        <f t="shared" ca="1" si="168"/>
        <v>0</v>
      </c>
      <c r="AB2164" s="313" t="str">
        <f t="shared" si="170"/>
        <v/>
      </c>
      <c r="AC2164" s="170" t="str">
        <f t="shared" si="171"/>
        <v/>
      </c>
      <c r="AD2164" s="170" t="str">
        <f t="shared" si="172"/>
        <v/>
      </c>
    </row>
    <row r="2165" spans="1:30" s="170" customFormat="1" ht="20.399999999999999">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69"/>
        <v/>
      </c>
      <c r="T2165" s="155" t="str">
        <f ca="1">IF(B2165="","",IF(ISERROR(MATCH($J2165,SorP!$B$1:$B$6226,0)),"",INDIRECT("'SorP'!$A$"&amp;MATCH($S2165&amp;$J2165,SorP!C:C,0))))</f>
        <v/>
      </c>
      <c r="U2165" s="168"/>
      <c r="V2165" s="169" t="e">
        <f>IF(C2165="",NA(),MATCH($B2165&amp;$C2165,'Smelter Look-up'!$J:$J,0))</f>
        <v>#N/A</v>
      </c>
      <c r="X2165" s="170">
        <f t="shared" ca="1" si="168"/>
        <v>0</v>
      </c>
      <c r="AB2165" s="313" t="str">
        <f t="shared" si="170"/>
        <v/>
      </c>
      <c r="AC2165" s="170" t="str">
        <f t="shared" si="171"/>
        <v/>
      </c>
      <c r="AD2165" s="170" t="str">
        <f t="shared" si="172"/>
        <v/>
      </c>
    </row>
    <row r="2166" spans="1:30" s="170" customFormat="1" ht="20.399999999999999">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69"/>
        <v/>
      </c>
      <c r="T2166" s="155" t="str">
        <f ca="1">IF(B2166="","",IF(ISERROR(MATCH($J2166,SorP!$B$1:$B$6226,0)),"",INDIRECT("'SorP'!$A$"&amp;MATCH($S2166&amp;$J2166,SorP!C:C,0))))</f>
        <v/>
      </c>
      <c r="U2166" s="168"/>
      <c r="V2166" s="169" t="e">
        <f>IF(C2166="",NA(),MATCH($B2166&amp;$C2166,'Smelter Look-up'!$J:$J,0))</f>
        <v>#N/A</v>
      </c>
      <c r="X2166" s="170">
        <f t="shared" ca="1" si="168"/>
        <v>0</v>
      </c>
      <c r="AB2166" s="313" t="str">
        <f t="shared" si="170"/>
        <v/>
      </c>
      <c r="AC2166" s="170" t="str">
        <f t="shared" si="171"/>
        <v/>
      </c>
      <c r="AD2166" s="170" t="str">
        <f t="shared" si="172"/>
        <v/>
      </c>
    </row>
    <row r="2167" spans="1:30" s="170" customFormat="1" ht="20.399999999999999">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69"/>
        <v/>
      </c>
      <c r="T2167" s="155" t="str">
        <f ca="1">IF(B2167="","",IF(ISERROR(MATCH($J2167,SorP!$B$1:$B$6226,0)),"",INDIRECT("'SorP'!$A$"&amp;MATCH($S2167&amp;$J2167,SorP!C:C,0))))</f>
        <v/>
      </c>
      <c r="U2167" s="168"/>
      <c r="V2167" s="169" t="e">
        <f>IF(C2167="",NA(),MATCH($B2167&amp;$C2167,'Smelter Look-up'!$J:$J,0))</f>
        <v>#N/A</v>
      </c>
      <c r="X2167" s="170">
        <f t="shared" ca="1" si="168"/>
        <v>0</v>
      </c>
      <c r="AB2167" s="313" t="str">
        <f t="shared" si="170"/>
        <v/>
      </c>
      <c r="AC2167" s="170" t="str">
        <f t="shared" si="171"/>
        <v/>
      </c>
      <c r="AD2167" s="170" t="str">
        <f t="shared" si="172"/>
        <v/>
      </c>
    </row>
    <row r="2168" spans="1:30" s="170" customFormat="1" ht="20.399999999999999">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69"/>
        <v/>
      </c>
      <c r="T2168" s="155" t="str">
        <f ca="1">IF(B2168="","",IF(ISERROR(MATCH($J2168,SorP!$B$1:$B$6226,0)),"",INDIRECT("'SorP'!$A$"&amp;MATCH($S2168&amp;$J2168,SorP!C:C,0))))</f>
        <v/>
      </c>
      <c r="U2168" s="168"/>
      <c r="V2168" s="169" t="e">
        <f>IF(C2168="",NA(),MATCH($B2168&amp;$C2168,'Smelter Look-up'!$J:$J,0))</f>
        <v>#N/A</v>
      </c>
      <c r="X2168" s="170">
        <f t="shared" ca="1" si="168"/>
        <v>0</v>
      </c>
      <c r="AB2168" s="313" t="str">
        <f t="shared" si="170"/>
        <v/>
      </c>
      <c r="AC2168" s="170" t="str">
        <f t="shared" si="171"/>
        <v/>
      </c>
      <c r="AD2168" s="170" t="str">
        <f t="shared" si="172"/>
        <v/>
      </c>
    </row>
    <row r="2169" spans="1:30" s="170" customFormat="1" ht="20.399999999999999">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69"/>
        <v/>
      </c>
      <c r="T2169" s="155" t="str">
        <f ca="1">IF(B2169="","",IF(ISERROR(MATCH($J2169,SorP!$B$1:$B$6226,0)),"",INDIRECT("'SorP'!$A$"&amp;MATCH($S2169&amp;$J2169,SorP!C:C,0))))</f>
        <v/>
      </c>
      <c r="U2169" s="168"/>
      <c r="V2169" s="169" t="e">
        <f>IF(C2169="",NA(),MATCH($B2169&amp;$C2169,'Smelter Look-up'!$J:$J,0))</f>
        <v>#N/A</v>
      </c>
      <c r="X2169" s="170">
        <f t="shared" ca="1" si="168"/>
        <v>0</v>
      </c>
      <c r="AB2169" s="313" t="str">
        <f t="shared" si="170"/>
        <v/>
      </c>
      <c r="AC2169" s="170" t="str">
        <f t="shared" si="171"/>
        <v/>
      </c>
      <c r="AD2169" s="170" t="str">
        <f t="shared" si="172"/>
        <v/>
      </c>
    </row>
    <row r="2170" spans="1:30" s="170" customFormat="1" ht="20.399999999999999">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69"/>
        <v/>
      </c>
      <c r="T2170" s="155" t="str">
        <f ca="1">IF(B2170="","",IF(ISERROR(MATCH($J2170,SorP!$B$1:$B$6226,0)),"",INDIRECT("'SorP'!$A$"&amp;MATCH($S2170&amp;$J2170,SorP!C:C,0))))</f>
        <v/>
      </c>
      <c r="U2170" s="168"/>
      <c r="V2170" s="169" t="e">
        <f>IF(C2170="",NA(),MATCH($B2170&amp;$C2170,'Smelter Look-up'!$J:$J,0))</f>
        <v>#N/A</v>
      </c>
      <c r="X2170" s="170">
        <f t="shared" ca="1" si="168"/>
        <v>0</v>
      </c>
      <c r="AB2170" s="313" t="str">
        <f t="shared" si="170"/>
        <v/>
      </c>
      <c r="AC2170" s="170" t="str">
        <f t="shared" si="171"/>
        <v/>
      </c>
      <c r="AD2170" s="170" t="str">
        <f t="shared" si="172"/>
        <v/>
      </c>
    </row>
    <row r="2171" spans="1:30" s="170" customFormat="1" ht="20.399999999999999">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69"/>
        <v/>
      </c>
      <c r="T2171" s="155" t="str">
        <f ca="1">IF(B2171="","",IF(ISERROR(MATCH($J2171,SorP!$B$1:$B$6226,0)),"",INDIRECT("'SorP'!$A$"&amp;MATCH($S2171&amp;$J2171,SorP!C:C,0))))</f>
        <v/>
      </c>
      <c r="U2171" s="168"/>
      <c r="V2171" s="169" t="e">
        <f>IF(C2171="",NA(),MATCH($B2171&amp;$C2171,'Smelter Look-up'!$J:$J,0))</f>
        <v>#N/A</v>
      </c>
      <c r="X2171" s="170">
        <f t="shared" ca="1" si="168"/>
        <v>0</v>
      </c>
      <c r="AB2171" s="313" t="str">
        <f t="shared" si="170"/>
        <v/>
      </c>
      <c r="AC2171" s="170" t="str">
        <f t="shared" si="171"/>
        <v/>
      </c>
      <c r="AD2171" s="170" t="str">
        <f t="shared" si="172"/>
        <v/>
      </c>
    </row>
    <row r="2172" spans="1:30" s="170" customFormat="1" ht="20.399999999999999">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69"/>
        <v/>
      </c>
      <c r="T2172" s="155" t="str">
        <f ca="1">IF(B2172="","",IF(ISERROR(MATCH($J2172,SorP!$B$1:$B$6226,0)),"",INDIRECT("'SorP'!$A$"&amp;MATCH($S2172&amp;$J2172,SorP!C:C,0))))</f>
        <v/>
      </c>
      <c r="U2172" s="168"/>
      <c r="V2172" s="169" t="e">
        <f>IF(C2172="",NA(),MATCH($B2172&amp;$C2172,'Smelter Look-up'!$J:$J,0))</f>
        <v>#N/A</v>
      </c>
      <c r="X2172" s="170">
        <f t="shared" ca="1" si="168"/>
        <v>0</v>
      </c>
      <c r="AB2172" s="313" t="str">
        <f t="shared" si="170"/>
        <v/>
      </c>
      <c r="AC2172" s="170" t="str">
        <f t="shared" si="171"/>
        <v/>
      </c>
      <c r="AD2172" s="170" t="str">
        <f t="shared" si="172"/>
        <v/>
      </c>
    </row>
    <row r="2173" spans="1:30" s="170" customFormat="1" ht="20.399999999999999">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69"/>
        <v/>
      </c>
      <c r="T2173" s="155" t="str">
        <f ca="1">IF(B2173="","",IF(ISERROR(MATCH($J2173,SorP!$B$1:$B$6226,0)),"",INDIRECT("'SorP'!$A$"&amp;MATCH($S2173&amp;$J2173,SorP!C:C,0))))</f>
        <v/>
      </c>
      <c r="U2173" s="168"/>
      <c r="V2173" s="169" t="e">
        <f>IF(C2173="",NA(),MATCH($B2173&amp;$C2173,'Smelter Look-up'!$J:$J,0))</f>
        <v>#N/A</v>
      </c>
      <c r="X2173" s="170">
        <f t="shared" ca="1" si="168"/>
        <v>0</v>
      </c>
      <c r="AB2173" s="313" t="str">
        <f t="shared" si="170"/>
        <v/>
      </c>
      <c r="AC2173" s="170" t="str">
        <f t="shared" si="171"/>
        <v/>
      </c>
      <c r="AD2173" s="170" t="str">
        <f t="shared" si="172"/>
        <v/>
      </c>
    </row>
    <row r="2174" spans="1:30" s="170" customFormat="1" ht="20.399999999999999">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69"/>
        <v/>
      </c>
      <c r="T2174" s="155" t="str">
        <f ca="1">IF(B2174="","",IF(ISERROR(MATCH($J2174,SorP!$B$1:$B$6226,0)),"",INDIRECT("'SorP'!$A$"&amp;MATCH($S2174&amp;$J2174,SorP!C:C,0))))</f>
        <v/>
      </c>
      <c r="U2174" s="168"/>
      <c r="V2174" s="169" t="e">
        <f>IF(C2174="",NA(),MATCH($B2174&amp;$C2174,'Smelter Look-up'!$J:$J,0))</f>
        <v>#N/A</v>
      </c>
      <c r="X2174" s="170">
        <f t="shared" ca="1" si="168"/>
        <v>0</v>
      </c>
      <c r="AB2174" s="313" t="str">
        <f t="shared" si="170"/>
        <v/>
      </c>
      <c r="AC2174" s="170" t="str">
        <f t="shared" si="171"/>
        <v/>
      </c>
      <c r="AD2174" s="170" t="str">
        <f t="shared" si="172"/>
        <v/>
      </c>
    </row>
    <row r="2175" spans="1:30" s="170" customFormat="1" ht="20.399999999999999">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69"/>
        <v/>
      </c>
      <c r="T2175" s="155" t="str">
        <f ca="1">IF(B2175="","",IF(ISERROR(MATCH($J2175,SorP!$B$1:$B$6226,0)),"",INDIRECT("'SorP'!$A$"&amp;MATCH($S2175&amp;$J2175,SorP!C:C,0))))</f>
        <v/>
      </c>
      <c r="U2175" s="168"/>
      <c r="V2175" s="169" t="e">
        <f>IF(C2175="",NA(),MATCH($B2175&amp;$C2175,'Smelter Look-up'!$J:$J,0))</f>
        <v>#N/A</v>
      </c>
      <c r="X2175" s="170">
        <f t="shared" ref="X2175:X2238" ca="1" si="173">IF(AND(C2175="Smelter not listed",OR(LEN(D2175)=0,LEN(E2175)=0)),1,0)</f>
        <v>0</v>
      </c>
      <c r="AB2175" s="313" t="str">
        <f t="shared" si="170"/>
        <v/>
      </c>
      <c r="AC2175" s="170" t="str">
        <f t="shared" si="171"/>
        <v/>
      </c>
      <c r="AD2175" s="170" t="str">
        <f t="shared" si="172"/>
        <v/>
      </c>
    </row>
    <row r="2176" spans="1:30" s="170" customFormat="1" ht="20.399999999999999">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ref="S2176:S2239" ca="1" si="174">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73"/>
        <v>0</v>
      </c>
      <c r="AB2176" s="313" t="str">
        <f t="shared" si="170"/>
        <v/>
      </c>
      <c r="AC2176" s="170" t="str">
        <f t="shared" si="171"/>
        <v/>
      </c>
      <c r="AD2176" s="170" t="str">
        <f t="shared" si="172"/>
        <v/>
      </c>
    </row>
    <row r="2177" spans="1:30" s="170" customFormat="1" ht="20.399999999999999">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74"/>
        <v/>
      </c>
      <c r="T2177" s="155" t="str">
        <f ca="1">IF(B2177="","",IF(ISERROR(MATCH($J2177,SorP!$B$1:$B$6226,0)),"",INDIRECT("'SorP'!$A$"&amp;MATCH($S2177&amp;$J2177,SorP!C:C,0))))</f>
        <v/>
      </c>
      <c r="U2177" s="168"/>
      <c r="V2177" s="169" t="e">
        <f>IF(C2177="",NA(),MATCH($B2177&amp;$C2177,'Smelter Look-up'!$J:$J,0))</f>
        <v>#N/A</v>
      </c>
      <c r="X2177" s="170">
        <f t="shared" ca="1" si="173"/>
        <v>0</v>
      </c>
      <c r="AB2177" s="313" t="str">
        <f t="shared" si="170"/>
        <v/>
      </c>
      <c r="AC2177" s="170" t="str">
        <f t="shared" si="171"/>
        <v/>
      </c>
      <c r="AD2177" s="170" t="str">
        <f t="shared" si="172"/>
        <v/>
      </c>
    </row>
    <row r="2178" spans="1:30" s="170" customFormat="1" ht="20.399999999999999">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74"/>
        <v/>
      </c>
      <c r="T2178" s="155" t="str">
        <f ca="1">IF(B2178="","",IF(ISERROR(MATCH($J2178,SorP!$B$1:$B$6226,0)),"",INDIRECT("'SorP'!$A$"&amp;MATCH($S2178&amp;$J2178,SorP!C:C,0))))</f>
        <v/>
      </c>
      <c r="U2178" s="168"/>
      <c r="V2178" s="169" t="e">
        <f>IF(C2178="",NA(),MATCH($B2178&amp;$C2178,'Smelter Look-up'!$J:$J,0))</f>
        <v>#N/A</v>
      </c>
      <c r="X2178" s="170">
        <f t="shared" ca="1" si="173"/>
        <v>0</v>
      </c>
      <c r="AB2178" s="313" t="str">
        <f t="shared" si="170"/>
        <v/>
      </c>
      <c r="AC2178" s="170" t="str">
        <f t="shared" si="171"/>
        <v/>
      </c>
      <c r="AD2178" s="170" t="str">
        <f t="shared" si="172"/>
        <v/>
      </c>
    </row>
    <row r="2179" spans="1:30" s="170" customFormat="1" ht="20.399999999999999">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74"/>
        <v/>
      </c>
      <c r="T2179" s="155" t="str">
        <f ca="1">IF(B2179="","",IF(ISERROR(MATCH($J2179,SorP!$B$1:$B$6226,0)),"",INDIRECT("'SorP'!$A$"&amp;MATCH($S2179&amp;$J2179,SorP!C:C,0))))</f>
        <v/>
      </c>
      <c r="U2179" s="168"/>
      <c r="V2179" s="169" t="e">
        <f>IF(C2179="",NA(),MATCH($B2179&amp;$C2179,'Smelter Look-up'!$J:$J,0))</f>
        <v>#N/A</v>
      </c>
      <c r="X2179" s="170">
        <f t="shared" ca="1" si="173"/>
        <v>0</v>
      </c>
      <c r="AB2179" s="313" t="str">
        <f t="shared" si="170"/>
        <v/>
      </c>
      <c r="AC2179" s="170" t="str">
        <f t="shared" si="171"/>
        <v/>
      </c>
      <c r="AD2179" s="170" t="str">
        <f t="shared" si="172"/>
        <v/>
      </c>
    </row>
    <row r="2180" spans="1:30" s="170" customFormat="1" ht="20.399999999999999">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74"/>
        <v/>
      </c>
      <c r="T2180" s="155" t="str">
        <f ca="1">IF(B2180="","",IF(ISERROR(MATCH($J2180,SorP!$B$1:$B$6226,0)),"",INDIRECT("'SorP'!$A$"&amp;MATCH($S2180&amp;$J2180,SorP!C:C,0))))</f>
        <v/>
      </c>
      <c r="U2180" s="168"/>
      <c r="V2180" s="169" t="e">
        <f>IF(C2180="",NA(),MATCH($B2180&amp;$C2180,'Smelter Look-up'!$J:$J,0))</f>
        <v>#N/A</v>
      </c>
      <c r="X2180" s="170">
        <f t="shared" ca="1" si="173"/>
        <v>0</v>
      </c>
      <c r="AB2180" s="313" t="str">
        <f t="shared" si="170"/>
        <v/>
      </c>
      <c r="AC2180" s="170" t="str">
        <f t="shared" si="171"/>
        <v/>
      </c>
      <c r="AD2180" s="170" t="str">
        <f t="shared" si="172"/>
        <v/>
      </c>
    </row>
    <row r="2181" spans="1:30" s="170" customFormat="1" ht="20.399999999999999">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74"/>
        <v/>
      </c>
      <c r="T2181" s="155" t="str">
        <f ca="1">IF(B2181="","",IF(ISERROR(MATCH($J2181,SorP!$B$1:$B$6226,0)),"",INDIRECT("'SorP'!$A$"&amp;MATCH($S2181&amp;$J2181,SorP!C:C,0))))</f>
        <v/>
      </c>
      <c r="U2181" s="168"/>
      <c r="V2181" s="169" t="e">
        <f>IF(C2181="",NA(),MATCH($B2181&amp;$C2181,'Smelter Look-up'!$J:$J,0))</f>
        <v>#N/A</v>
      </c>
      <c r="X2181" s="170">
        <f t="shared" ca="1" si="173"/>
        <v>0</v>
      </c>
      <c r="AB2181" s="313" t="str">
        <f t="shared" si="170"/>
        <v/>
      </c>
      <c r="AC2181" s="170" t="str">
        <f t="shared" si="171"/>
        <v/>
      </c>
      <c r="AD2181" s="170" t="str">
        <f t="shared" si="172"/>
        <v/>
      </c>
    </row>
    <row r="2182" spans="1:30" s="170" customFormat="1" ht="20.399999999999999">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74"/>
        <v/>
      </c>
      <c r="T2182" s="155" t="str">
        <f ca="1">IF(B2182="","",IF(ISERROR(MATCH($J2182,SorP!$B$1:$B$6226,0)),"",INDIRECT("'SorP'!$A$"&amp;MATCH($S2182&amp;$J2182,SorP!C:C,0))))</f>
        <v/>
      </c>
      <c r="U2182" s="168"/>
      <c r="V2182" s="169" t="e">
        <f>IF(C2182="",NA(),MATCH($B2182&amp;$C2182,'Smelter Look-up'!$J:$J,0))</f>
        <v>#N/A</v>
      </c>
      <c r="X2182" s="170">
        <f t="shared" ca="1" si="173"/>
        <v>0</v>
      </c>
      <c r="AB2182" s="313" t="str">
        <f t="shared" ref="AB2182:AB2245" si="175">IF(C2182="","",B2182)</f>
        <v/>
      </c>
      <c r="AC2182" s="170" t="str">
        <f t="shared" ref="AC2182:AC2245" si="176">B2182</f>
        <v/>
      </c>
      <c r="AD2182" s="170" t="str">
        <f t="shared" ref="AD2182:AD2245" si="177">IF(C2182="Smelter not listed",D2182,C2182)</f>
        <v/>
      </c>
    </row>
    <row r="2183" spans="1:30" s="170" customFormat="1" ht="20.399999999999999">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74"/>
        <v/>
      </c>
      <c r="T2183" s="155" t="str">
        <f ca="1">IF(B2183="","",IF(ISERROR(MATCH($J2183,SorP!$B$1:$B$6226,0)),"",INDIRECT("'SorP'!$A$"&amp;MATCH($S2183&amp;$J2183,SorP!C:C,0))))</f>
        <v/>
      </c>
      <c r="U2183" s="168"/>
      <c r="V2183" s="169" t="e">
        <f>IF(C2183="",NA(),MATCH($B2183&amp;$C2183,'Smelter Look-up'!$J:$J,0))</f>
        <v>#N/A</v>
      </c>
      <c r="X2183" s="170">
        <f t="shared" ca="1" si="173"/>
        <v>0</v>
      </c>
      <c r="AB2183" s="313" t="str">
        <f t="shared" si="175"/>
        <v/>
      </c>
      <c r="AC2183" s="170" t="str">
        <f t="shared" si="176"/>
        <v/>
      </c>
      <c r="AD2183" s="170" t="str">
        <f t="shared" si="177"/>
        <v/>
      </c>
    </row>
    <row r="2184" spans="1:30" s="170" customFormat="1" ht="20.399999999999999">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74"/>
        <v/>
      </c>
      <c r="T2184" s="155" t="str">
        <f ca="1">IF(B2184="","",IF(ISERROR(MATCH($J2184,SorP!$B$1:$B$6226,0)),"",INDIRECT("'SorP'!$A$"&amp;MATCH($S2184&amp;$J2184,SorP!C:C,0))))</f>
        <v/>
      </c>
      <c r="U2184" s="168"/>
      <c r="V2184" s="169" t="e">
        <f>IF(C2184="",NA(),MATCH($B2184&amp;$C2184,'Smelter Look-up'!$J:$J,0))</f>
        <v>#N/A</v>
      </c>
      <c r="X2184" s="170">
        <f t="shared" ca="1" si="173"/>
        <v>0</v>
      </c>
      <c r="AB2184" s="313" t="str">
        <f t="shared" si="175"/>
        <v/>
      </c>
      <c r="AC2184" s="170" t="str">
        <f t="shared" si="176"/>
        <v/>
      </c>
      <c r="AD2184" s="170" t="str">
        <f t="shared" si="177"/>
        <v/>
      </c>
    </row>
    <row r="2185" spans="1:30" s="170" customFormat="1" ht="20.399999999999999">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74"/>
        <v/>
      </c>
      <c r="T2185" s="155" t="str">
        <f ca="1">IF(B2185="","",IF(ISERROR(MATCH($J2185,SorP!$B$1:$B$6226,0)),"",INDIRECT("'SorP'!$A$"&amp;MATCH($S2185&amp;$J2185,SorP!C:C,0))))</f>
        <v/>
      </c>
      <c r="U2185" s="168"/>
      <c r="V2185" s="169" t="e">
        <f>IF(C2185="",NA(),MATCH($B2185&amp;$C2185,'Smelter Look-up'!$J:$J,0))</f>
        <v>#N/A</v>
      </c>
      <c r="X2185" s="170">
        <f t="shared" ca="1" si="173"/>
        <v>0</v>
      </c>
      <c r="AB2185" s="313" t="str">
        <f t="shared" si="175"/>
        <v/>
      </c>
      <c r="AC2185" s="170" t="str">
        <f t="shared" si="176"/>
        <v/>
      </c>
      <c r="AD2185" s="170" t="str">
        <f t="shared" si="177"/>
        <v/>
      </c>
    </row>
    <row r="2186" spans="1:30" s="170" customFormat="1" ht="20.399999999999999">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74"/>
        <v/>
      </c>
      <c r="T2186" s="155" t="str">
        <f ca="1">IF(B2186="","",IF(ISERROR(MATCH($J2186,SorP!$B$1:$B$6226,0)),"",INDIRECT("'SorP'!$A$"&amp;MATCH($S2186&amp;$J2186,SorP!C:C,0))))</f>
        <v/>
      </c>
      <c r="U2186" s="168"/>
      <c r="V2186" s="169" t="e">
        <f>IF(C2186="",NA(),MATCH($B2186&amp;$C2186,'Smelter Look-up'!$J:$J,0))</f>
        <v>#N/A</v>
      </c>
      <c r="X2186" s="170">
        <f t="shared" ca="1" si="173"/>
        <v>0</v>
      </c>
      <c r="AB2186" s="313" t="str">
        <f t="shared" si="175"/>
        <v/>
      </c>
      <c r="AC2186" s="170" t="str">
        <f t="shared" si="176"/>
        <v/>
      </c>
      <c r="AD2186" s="170" t="str">
        <f t="shared" si="177"/>
        <v/>
      </c>
    </row>
    <row r="2187" spans="1:30" s="170" customFormat="1" ht="20.399999999999999">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74"/>
        <v/>
      </c>
      <c r="T2187" s="155" t="str">
        <f ca="1">IF(B2187="","",IF(ISERROR(MATCH($J2187,SorP!$B$1:$B$6226,0)),"",INDIRECT("'SorP'!$A$"&amp;MATCH($S2187&amp;$J2187,SorP!C:C,0))))</f>
        <v/>
      </c>
      <c r="U2187" s="168"/>
      <c r="V2187" s="169" t="e">
        <f>IF(C2187="",NA(),MATCH($B2187&amp;$C2187,'Smelter Look-up'!$J:$J,0))</f>
        <v>#N/A</v>
      </c>
      <c r="X2187" s="170">
        <f t="shared" ca="1" si="173"/>
        <v>0</v>
      </c>
      <c r="AB2187" s="313" t="str">
        <f t="shared" si="175"/>
        <v/>
      </c>
      <c r="AC2187" s="170" t="str">
        <f t="shared" si="176"/>
        <v/>
      </c>
      <c r="AD2187" s="170" t="str">
        <f t="shared" si="177"/>
        <v/>
      </c>
    </row>
    <row r="2188" spans="1:30" s="170" customFormat="1" ht="20.399999999999999">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74"/>
        <v/>
      </c>
      <c r="T2188" s="155" t="str">
        <f ca="1">IF(B2188="","",IF(ISERROR(MATCH($J2188,SorP!$B$1:$B$6226,0)),"",INDIRECT("'SorP'!$A$"&amp;MATCH($S2188&amp;$J2188,SorP!C:C,0))))</f>
        <v/>
      </c>
      <c r="U2188" s="168"/>
      <c r="V2188" s="169" t="e">
        <f>IF(C2188="",NA(),MATCH($B2188&amp;$C2188,'Smelter Look-up'!$J:$J,0))</f>
        <v>#N/A</v>
      </c>
      <c r="X2188" s="170">
        <f t="shared" ca="1" si="173"/>
        <v>0</v>
      </c>
      <c r="AB2188" s="313" t="str">
        <f t="shared" si="175"/>
        <v/>
      </c>
      <c r="AC2188" s="170" t="str">
        <f t="shared" si="176"/>
        <v/>
      </c>
      <c r="AD2188" s="170" t="str">
        <f t="shared" si="177"/>
        <v/>
      </c>
    </row>
    <row r="2189" spans="1:30" s="170" customFormat="1" ht="20.399999999999999">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74"/>
        <v/>
      </c>
      <c r="T2189" s="155" t="str">
        <f ca="1">IF(B2189="","",IF(ISERROR(MATCH($J2189,SorP!$B$1:$B$6226,0)),"",INDIRECT("'SorP'!$A$"&amp;MATCH($S2189&amp;$J2189,SorP!C:C,0))))</f>
        <v/>
      </c>
      <c r="U2189" s="168"/>
      <c r="V2189" s="169" t="e">
        <f>IF(C2189="",NA(),MATCH($B2189&amp;$C2189,'Smelter Look-up'!$J:$J,0))</f>
        <v>#N/A</v>
      </c>
      <c r="X2189" s="170">
        <f t="shared" ca="1" si="173"/>
        <v>0</v>
      </c>
      <c r="AB2189" s="313" t="str">
        <f t="shared" si="175"/>
        <v/>
      </c>
      <c r="AC2189" s="170" t="str">
        <f t="shared" si="176"/>
        <v/>
      </c>
      <c r="AD2189" s="170" t="str">
        <f t="shared" si="177"/>
        <v/>
      </c>
    </row>
    <row r="2190" spans="1:30" s="170" customFormat="1" ht="20.399999999999999">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74"/>
        <v/>
      </c>
      <c r="T2190" s="155" t="str">
        <f ca="1">IF(B2190="","",IF(ISERROR(MATCH($J2190,SorP!$B$1:$B$6226,0)),"",INDIRECT("'SorP'!$A$"&amp;MATCH($S2190&amp;$J2190,SorP!C:C,0))))</f>
        <v/>
      </c>
      <c r="U2190" s="168"/>
      <c r="V2190" s="169" t="e">
        <f>IF(C2190="",NA(),MATCH($B2190&amp;$C2190,'Smelter Look-up'!$J:$J,0))</f>
        <v>#N/A</v>
      </c>
      <c r="X2190" s="170">
        <f t="shared" ca="1" si="173"/>
        <v>0</v>
      </c>
      <c r="AB2190" s="313" t="str">
        <f t="shared" si="175"/>
        <v/>
      </c>
      <c r="AC2190" s="170" t="str">
        <f t="shared" si="176"/>
        <v/>
      </c>
      <c r="AD2190" s="170" t="str">
        <f t="shared" si="177"/>
        <v/>
      </c>
    </row>
    <row r="2191" spans="1:30" s="170" customFormat="1" ht="20.399999999999999">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74"/>
        <v/>
      </c>
      <c r="T2191" s="155" t="str">
        <f ca="1">IF(B2191="","",IF(ISERROR(MATCH($J2191,SorP!$B$1:$B$6226,0)),"",INDIRECT("'SorP'!$A$"&amp;MATCH($S2191&amp;$J2191,SorP!C:C,0))))</f>
        <v/>
      </c>
      <c r="U2191" s="168"/>
      <c r="V2191" s="169" t="e">
        <f>IF(C2191="",NA(),MATCH($B2191&amp;$C2191,'Smelter Look-up'!$J:$J,0))</f>
        <v>#N/A</v>
      </c>
      <c r="X2191" s="170">
        <f t="shared" ca="1" si="173"/>
        <v>0</v>
      </c>
      <c r="AB2191" s="313" t="str">
        <f t="shared" si="175"/>
        <v/>
      </c>
      <c r="AC2191" s="170" t="str">
        <f t="shared" si="176"/>
        <v/>
      </c>
      <c r="AD2191" s="170" t="str">
        <f t="shared" si="177"/>
        <v/>
      </c>
    </row>
    <row r="2192" spans="1:30" s="170" customFormat="1" ht="20.399999999999999">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74"/>
        <v/>
      </c>
      <c r="T2192" s="155" t="str">
        <f ca="1">IF(B2192="","",IF(ISERROR(MATCH($J2192,SorP!$B$1:$B$6226,0)),"",INDIRECT("'SorP'!$A$"&amp;MATCH($S2192&amp;$J2192,SorP!C:C,0))))</f>
        <v/>
      </c>
      <c r="U2192" s="168"/>
      <c r="V2192" s="169" t="e">
        <f>IF(C2192="",NA(),MATCH($B2192&amp;$C2192,'Smelter Look-up'!$J:$J,0))</f>
        <v>#N/A</v>
      </c>
      <c r="X2192" s="170">
        <f t="shared" ca="1" si="173"/>
        <v>0</v>
      </c>
      <c r="AB2192" s="313" t="str">
        <f t="shared" si="175"/>
        <v/>
      </c>
      <c r="AC2192" s="170" t="str">
        <f t="shared" si="176"/>
        <v/>
      </c>
      <c r="AD2192" s="170" t="str">
        <f t="shared" si="177"/>
        <v/>
      </c>
    </row>
    <row r="2193" spans="1:30" s="170" customFormat="1" ht="20.399999999999999">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74"/>
        <v/>
      </c>
      <c r="T2193" s="155" t="str">
        <f ca="1">IF(B2193="","",IF(ISERROR(MATCH($J2193,SorP!$B$1:$B$6226,0)),"",INDIRECT("'SorP'!$A$"&amp;MATCH($S2193&amp;$J2193,SorP!C:C,0))))</f>
        <v/>
      </c>
      <c r="U2193" s="168"/>
      <c r="V2193" s="169" t="e">
        <f>IF(C2193="",NA(),MATCH($B2193&amp;$C2193,'Smelter Look-up'!$J:$J,0))</f>
        <v>#N/A</v>
      </c>
      <c r="X2193" s="170">
        <f t="shared" ca="1" si="173"/>
        <v>0</v>
      </c>
      <c r="AB2193" s="313" t="str">
        <f t="shared" si="175"/>
        <v/>
      </c>
      <c r="AC2193" s="170" t="str">
        <f t="shared" si="176"/>
        <v/>
      </c>
      <c r="AD2193" s="170" t="str">
        <f t="shared" si="177"/>
        <v/>
      </c>
    </row>
    <row r="2194" spans="1:30" s="170" customFormat="1" ht="20.399999999999999">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74"/>
        <v/>
      </c>
      <c r="T2194" s="155" t="str">
        <f ca="1">IF(B2194="","",IF(ISERROR(MATCH($J2194,SorP!$B$1:$B$6226,0)),"",INDIRECT("'SorP'!$A$"&amp;MATCH($S2194&amp;$J2194,SorP!C:C,0))))</f>
        <v/>
      </c>
      <c r="U2194" s="168"/>
      <c r="V2194" s="169" t="e">
        <f>IF(C2194="",NA(),MATCH($B2194&amp;$C2194,'Smelter Look-up'!$J:$J,0))</f>
        <v>#N/A</v>
      </c>
      <c r="X2194" s="170">
        <f t="shared" ca="1" si="173"/>
        <v>0</v>
      </c>
      <c r="AB2194" s="313" t="str">
        <f t="shared" si="175"/>
        <v/>
      </c>
      <c r="AC2194" s="170" t="str">
        <f t="shared" si="176"/>
        <v/>
      </c>
      <c r="AD2194" s="170" t="str">
        <f t="shared" si="177"/>
        <v/>
      </c>
    </row>
    <row r="2195" spans="1:30" s="170" customFormat="1" ht="20.399999999999999">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74"/>
        <v/>
      </c>
      <c r="T2195" s="155" t="str">
        <f ca="1">IF(B2195="","",IF(ISERROR(MATCH($J2195,SorP!$B$1:$B$6226,0)),"",INDIRECT("'SorP'!$A$"&amp;MATCH($S2195&amp;$J2195,SorP!C:C,0))))</f>
        <v/>
      </c>
      <c r="U2195" s="168"/>
      <c r="V2195" s="169" t="e">
        <f>IF(C2195="",NA(),MATCH($B2195&amp;$C2195,'Smelter Look-up'!$J:$J,0))</f>
        <v>#N/A</v>
      </c>
      <c r="X2195" s="170">
        <f t="shared" ca="1" si="173"/>
        <v>0</v>
      </c>
      <c r="AB2195" s="313" t="str">
        <f t="shared" si="175"/>
        <v/>
      </c>
      <c r="AC2195" s="170" t="str">
        <f t="shared" si="176"/>
        <v/>
      </c>
      <c r="AD2195" s="170" t="str">
        <f t="shared" si="177"/>
        <v/>
      </c>
    </row>
    <row r="2196" spans="1:30" s="170" customFormat="1" ht="20.399999999999999">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74"/>
        <v/>
      </c>
      <c r="T2196" s="155" t="str">
        <f ca="1">IF(B2196="","",IF(ISERROR(MATCH($J2196,SorP!$B$1:$B$6226,0)),"",INDIRECT("'SorP'!$A$"&amp;MATCH($S2196&amp;$J2196,SorP!C:C,0))))</f>
        <v/>
      </c>
      <c r="U2196" s="168"/>
      <c r="V2196" s="169" t="e">
        <f>IF(C2196="",NA(),MATCH($B2196&amp;$C2196,'Smelter Look-up'!$J:$J,0))</f>
        <v>#N/A</v>
      </c>
      <c r="X2196" s="170">
        <f t="shared" ca="1" si="173"/>
        <v>0</v>
      </c>
      <c r="AB2196" s="313" t="str">
        <f t="shared" si="175"/>
        <v/>
      </c>
      <c r="AC2196" s="170" t="str">
        <f t="shared" si="176"/>
        <v/>
      </c>
      <c r="AD2196" s="170" t="str">
        <f t="shared" si="177"/>
        <v/>
      </c>
    </row>
    <row r="2197" spans="1:30" s="170" customFormat="1" ht="20.399999999999999">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74"/>
        <v/>
      </c>
      <c r="T2197" s="155" t="str">
        <f ca="1">IF(B2197="","",IF(ISERROR(MATCH($J2197,SorP!$B$1:$B$6226,0)),"",INDIRECT("'SorP'!$A$"&amp;MATCH($S2197&amp;$J2197,SorP!C:C,0))))</f>
        <v/>
      </c>
      <c r="U2197" s="168"/>
      <c r="V2197" s="169" t="e">
        <f>IF(C2197="",NA(),MATCH($B2197&amp;$C2197,'Smelter Look-up'!$J:$J,0))</f>
        <v>#N/A</v>
      </c>
      <c r="X2197" s="170">
        <f t="shared" ca="1" si="173"/>
        <v>0</v>
      </c>
      <c r="AB2197" s="313" t="str">
        <f t="shared" si="175"/>
        <v/>
      </c>
      <c r="AC2197" s="170" t="str">
        <f t="shared" si="176"/>
        <v/>
      </c>
      <c r="AD2197" s="170" t="str">
        <f t="shared" si="177"/>
        <v/>
      </c>
    </row>
    <row r="2198" spans="1:30" s="170" customFormat="1" ht="20.399999999999999">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74"/>
        <v/>
      </c>
      <c r="T2198" s="155" t="str">
        <f ca="1">IF(B2198="","",IF(ISERROR(MATCH($J2198,SorP!$B$1:$B$6226,0)),"",INDIRECT("'SorP'!$A$"&amp;MATCH($S2198&amp;$J2198,SorP!C:C,0))))</f>
        <v/>
      </c>
      <c r="U2198" s="168"/>
      <c r="V2198" s="169" t="e">
        <f>IF(C2198="",NA(),MATCH($B2198&amp;$C2198,'Smelter Look-up'!$J:$J,0))</f>
        <v>#N/A</v>
      </c>
      <c r="X2198" s="170">
        <f t="shared" ca="1" si="173"/>
        <v>0</v>
      </c>
      <c r="AB2198" s="313" t="str">
        <f t="shared" si="175"/>
        <v/>
      </c>
      <c r="AC2198" s="170" t="str">
        <f t="shared" si="176"/>
        <v/>
      </c>
      <c r="AD2198" s="170" t="str">
        <f t="shared" si="177"/>
        <v/>
      </c>
    </row>
    <row r="2199" spans="1:30" s="170" customFormat="1" ht="20.399999999999999">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74"/>
        <v/>
      </c>
      <c r="T2199" s="155" t="str">
        <f ca="1">IF(B2199="","",IF(ISERROR(MATCH($J2199,SorP!$B$1:$B$6226,0)),"",INDIRECT("'SorP'!$A$"&amp;MATCH($S2199&amp;$J2199,SorP!C:C,0))))</f>
        <v/>
      </c>
      <c r="U2199" s="168"/>
      <c r="V2199" s="169" t="e">
        <f>IF(C2199="",NA(),MATCH($B2199&amp;$C2199,'Smelter Look-up'!$J:$J,0))</f>
        <v>#N/A</v>
      </c>
      <c r="X2199" s="170">
        <f t="shared" ca="1" si="173"/>
        <v>0</v>
      </c>
      <c r="AB2199" s="313" t="str">
        <f t="shared" si="175"/>
        <v/>
      </c>
      <c r="AC2199" s="170" t="str">
        <f t="shared" si="176"/>
        <v/>
      </c>
      <c r="AD2199" s="170" t="str">
        <f t="shared" si="177"/>
        <v/>
      </c>
    </row>
    <row r="2200" spans="1:30" s="170" customFormat="1" ht="20.399999999999999">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74"/>
        <v/>
      </c>
      <c r="T2200" s="155" t="str">
        <f ca="1">IF(B2200="","",IF(ISERROR(MATCH($J2200,SorP!$B$1:$B$6226,0)),"",INDIRECT("'SorP'!$A$"&amp;MATCH($S2200&amp;$J2200,SorP!C:C,0))))</f>
        <v/>
      </c>
      <c r="U2200" s="168"/>
      <c r="V2200" s="169" t="e">
        <f>IF(C2200="",NA(),MATCH($B2200&amp;$C2200,'Smelter Look-up'!$J:$J,0))</f>
        <v>#N/A</v>
      </c>
      <c r="X2200" s="170">
        <f t="shared" ca="1" si="173"/>
        <v>0</v>
      </c>
      <c r="AB2200" s="313" t="str">
        <f t="shared" si="175"/>
        <v/>
      </c>
      <c r="AC2200" s="170" t="str">
        <f t="shared" si="176"/>
        <v/>
      </c>
      <c r="AD2200" s="170" t="str">
        <f t="shared" si="177"/>
        <v/>
      </c>
    </row>
    <row r="2201" spans="1:30" s="170" customFormat="1" ht="20.399999999999999">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74"/>
        <v/>
      </c>
      <c r="T2201" s="155" t="str">
        <f ca="1">IF(B2201="","",IF(ISERROR(MATCH($J2201,SorP!$B$1:$B$6226,0)),"",INDIRECT("'SorP'!$A$"&amp;MATCH($S2201&amp;$J2201,SorP!C:C,0))))</f>
        <v/>
      </c>
      <c r="U2201" s="168"/>
      <c r="V2201" s="169" t="e">
        <f>IF(C2201="",NA(),MATCH($B2201&amp;$C2201,'Smelter Look-up'!$J:$J,0))</f>
        <v>#N/A</v>
      </c>
      <c r="X2201" s="170">
        <f t="shared" ca="1" si="173"/>
        <v>0</v>
      </c>
      <c r="AB2201" s="313" t="str">
        <f t="shared" si="175"/>
        <v/>
      </c>
      <c r="AC2201" s="170" t="str">
        <f t="shared" si="176"/>
        <v/>
      </c>
      <c r="AD2201" s="170" t="str">
        <f t="shared" si="177"/>
        <v/>
      </c>
    </row>
    <row r="2202" spans="1:30" s="170" customFormat="1" ht="20.399999999999999">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74"/>
        <v/>
      </c>
      <c r="T2202" s="155" t="str">
        <f ca="1">IF(B2202="","",IF(ISERROR(MATCH($J2202,SorP!$B$1:$B$6226,0)),"",INDIRECT("'SorP'!$A$"&amp;MATCH($S2202&amp;$J2202,SorP!C:C,0))))</f>
        <v/>
      </c>
      <c r="U2202" s="168"/>
      <c r="V2202" s="169" t="e">
        <f>IF(C2202="",NA(),MATCH($B2202&amp;$C2202,'Smelter Look-up'!$J:$J,0))</f>
        <v>#N/A</v>
      </c>
      <c r="X2202" s="170">
        <f t="shared" ca="1" si="173"/>
        <v>0</v>
      </c>
      <c r="AB2202" s="313" t="str">
        <f t="shared" si="175"/>
        <v/>
      </c>
      <c r="AC2202" s="170" t="str">
        <f t="shared" si="176"/>
        <v/>
      </c>
      <c r="AD2202" s="170" t="str">
        <f t="shared" si="177"/>
        <v/>
      </c>
    </row>
    <row r="2203" spans="1:30" s="170" customFormat="1" ht="20.399999999999999">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74"/>
        <v/>
      </c>
      <c r="T2203" s="155" t="str">
        <f ca="1">IF(B2203="","",IF(ISERROR(MATCH($J2203,SorP!$B$1:$B$6226,0)),"",INDIRECT("'SorP'!$A$"&amp;MATCH($S2203&amp;$J2203,SorP!C:C,0))))</f>
        <v/>
      </c>
      <c r="U2203" s="168"/>
      <c r="V2203" s="169" t="e">
        <f>IF(C2203="",NA(),MATCH($B2203&amp;$C2203,'Smelter Look-up'!$J:$J,0))</f>
        <v>#N/A</v>
      </c>
      <c r="X2203" s="170">
        <f t="shared" ca="1" si="173"/>
        <v>0</v>
      </c>
      <c r="AB2203" s="313" t="str">
        <f t="shared" si="175"/>
        <v/>
      </c>
      <c r="AC2203" s="170" t="str">
        <f t="shared" si="176"/>
        <v/>
      </c>
      <c r="AD2203" s="170" t="str">
        <f t="shared" si="177"/>
        <v/>
      </c>
    </row>
    <row r="2204" spans="1:30" s="170" customFormat="1" ht="20.399999999999999">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74"/>
        <v/>
      </c>
      <c r="T2204" s="155" t="str">
        <f ca="1">IF(B2204="","",IF(ISERROR(MATCH($J2204,SorP!$B$1:$B$6226,0)),"",INDIRECT("'SorP'!$A$"&amp;MATCH($S2204&amp;$J2204,SorP!C:C,0))))</f>
        <v/>
      </c>
      <c r="U2204" s="168"/>
      <c r="V2204" s="169" t="e">
        <f>IF(C2204="",NA(),MATCH($B2204&amp;$C2204,'Smelter Look-up'!$J:$J,0))</f>
        <v>#N/A</v>
      </c>
      <c r="X2204" s="170">
        <f t="shared" ca="1" si="173"/>
        <v>0</v>
      </c>
      <c r="AB2204" s="313" t="str">
        <f t="shared" si="175"/>
        <v/>
      </c>
      <c r="AC2204" s="170" t="str">
        <f t="shared" si="176"/>
        <v/>
      </c>
      <c r="AD2204" s="170" t="str">
        <f t="shared" si="177"/>
        <v/>
      </c>
    </row>
    <row r="2205" spans="1:30" s="170" customFormat="1" ht="20.399999999999999">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74"/>
        <v/>
      </c>
      <c r="T2205" s="155" t="str">
        <f ca="1">IF(B2205="","",IF(ISERROR(MATCH($J2205,SorP!$B$1:$B$6226,0)),"",INDIRECT("'SorP'!$A$"&amp;MATCH($S2205&amp;$J2205,SorP!C:C,0))))</f>
        <v/>
      </c>
      <c r="U2205" s="168"/>
      <c r="V2205" s="169" t="e">
        <f>IF(C2205="",NA(),MATCH($B2205&amp;$C2205,'Smelter Look-up'!$J:$J,0))</f>
        <v>#N/A</v>
      </c>
      <c r="X2205" s="170">
        <f t="shared" ca="1" si="173"/>
        <v>0</v>
      </c>
      <c r="AB2205" s="313" t="str">
        <f t="shared" si="175"/>
        <v/>
      </c>
      <c r="AC2205" s="170" t="str">
        <f t="shared" si="176"/>
        <v/>
      </c>
      <c r="AD2205" s="170" t="str">
        <f t="shared" si="177"/>
        <v/>
      </c>
    </row>
    <row r="2206" spans="1:30" s="170" customFormat="1" ht="20.399999999999999">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74"/>
        <v/>
      </c>
      <c r="T2206" s="155" t="str">
        <f ca="1">IF(B2206="","",IF(ISERROR(MATCH($J2206,SorP!$B$1:$B$6226,0)),"",INDIRECT("'SorP'!$A$"&amp;MATCH($S2206&amp;$J2206,SorP!C:C,0))))</f>
        <v/>
      </c>
      <c r="U2206" s="168"/>
      <c r="V2206" s="169" t="e">
        <f>IF(C2206="",NA(),MATCH($B2206&amp;$C2206,'Smelter Look-up'!$J:$J,0))</f>
        <v>#N/A</v>
      </c>
      <c r="X2206" s="170">
        <f t="shared" ca="1" si="173"/>
        <v>0</v>
      </c>
      <c r="AB2206" s="313" t="str">
        <f t="shared" si="175"/>
        <v/>
      </c>
      <c r="AC2206" s="170" t="str">
        <f t="shared" si="176"/>
        <v/>
      </c>
      <c r="AD2206" s="170" t="str">
        <f t="shared" si="177"/>
        <v/>
      </c>
    </row>
    <row r="2207" spans="1:30" s="170" customFormat="1" ht="20.399999999999999">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74"/>
        <v/>
      </c>
      <c r="T2207" s="155" t="str">
        <f ca="1">IF(B2207="","",IF(ISERROR(MATCH($J2207,SorP!$B$1:$B$6226,0)),"",INDIRECT("'SorP'!$A$"&amp;MATCH($S2207&amp;$J2207,SorP!C:C,0))))</f>
        <v/>
      </c>
      <c r="U2207" s="168"/>
      <c r="V2207" s="169" t="e">
        <f>IF(C2207="",NA(),MATCH($B2207&amp;$C2207,'Smelter Look-up'!$J:$J,0))</f>
        <v>#N/A</v>
      </c>
      <c r="X2207" s="170">
        <f t="shared" ca="1" si="173"/>
        <v>0</v>
      </c>
      <c r="AB2207" s="313" t="str">
        <f t="shared" si="175"/>
        <v/>
      </c>
      <c r="AC2207" s="170" t="str">
        <f t="shared" si="176"/>
        <v/>
      </c>
      <c r="AD2207" s="170" t="str">
        <f t="shared" si="177"/>
        <v/>
      </c>
    </row>
    <row r="2208" spans="1:30" s="170" customFormat="1" ht="20.399999999999999">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74"/>
        <v/>
      </c>
      <c r="T2208" s="155" t="str">
        <f ca="1">IF(B2208="","",IF(ISERROR(MATCH($J2208,SorP!$B$1:$B$6226,0)),"",INDIRECT("'SorP'!$A$"&amp;MATCH($S2208&amp;$J2208,SorP!C:C,0))))</f>
        <v/>
      </c>
      <c r="U2208" s="168"/>
      <c r="V2208" s="169" t="e">
        <f>IF(C2208="",NA(),MATCH($B2208&amp;$C2208,'Smelter Look-up'!$J:$J,0))</f>
        <v>#N/A</v>
      </c>
      <c r="X2208" s="170">
        <f t="shared" ca="1" si="173"/>
        <v>0</v>
      </c>
      <c r="AB2208" s="313" t="str">
        <f t="shared" si="175"/>
        <v/>
      </c>
      <c r="AC2208" s="170" t="str">
        <f t="shared" si="176"/>
        <v/>
      </c>
      <c r="AD2208" s="170" t="str">
        <f t="shared" si="177"/>
        <v/>
      </c>
    </row>
    <row r="2209" spans="1:30" s="170" customFormat="1" ht="20.399999999999999">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74"/>
        <v/>
      </c>
      <c r="T2209" s="155" t="str">
        <f ca="1">IF(B2209="","",IF(ISERROR(MATCH($J2209,SorP!$B$1:$B$6226,0)),"",INDIRECT("'SorP'!$A$"&amp;MATCH($S2209&amp;$J2209,SorP!C:C,0))))</f>
        <v/>
      </c>
      <c r="U2209" s="168"/>
      <c r="V2209" s="169" t="e">
        <f>IF(C2209="",NA(),MATCH($B2209&amp;$C2209,'Smelter Look-up'!$J:$J,0))</f>
        <v>#N/A</v>
      </c>
      <c r="X2209" s="170">
        <f t="shared" ca="1" si="173"/>
        <v>0</v>
      </c>
      <c r="AB2209" s="313" t="str">
        <f t="shared" si="175"/>
        <v/>
      </c>
      <c r="AC2209" s="170" t="str">
        <f t="shared" si="176"/>
        <v/>
      </c>
      <c r="AD2209" s="170" t="str">
        <f t="shared" si="177"/>
        <v/>
      </c>
    </row>
    <row r="2210" spans="1:30" s="170" customFormat="1" ht="20.399999999999999">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74"/>
        <v/>
      </c>
      <c r="T2210" s="155" t="str">
        <f ca="1">IF(B2210="","",IF(ISERROR(MATCH($J2210,SorP!$B$1:$B$6226,0)),"",INDIRECT("'SorP'!$A$"&amp;MATCH($S2210&amp;$J2210,SorP!C:C,0))))</f>
        <v/>
      </c>
      <c r="U2210" s="168"/>
      <c r="V2210" s="169" t="e">
        <f>IF(C2210="",NA(),MATCH($B2210&amp;$C2210,'Smelter Look-up'!$J:$J,0))</f>
        <v>#N/A</v>
      </c>
      <c r="X2210" s="170">
        <f t="shared" ca="1" si="173"/>
        <v>0</v>
      </c>
      <c r="AB2210" s="313" t="str">
        <f t="shared" si="175"/>
        <v/>
      </c>
      <c r="AC2210" s="170" t="str">
        <f t="shared" si="176"/>
        <v/>
      </c>
      <c r="AD2210" s="170" t="str">
        <f t="shared" si="177"/>
        <v/>
      </c>
    </row>
    <row r="2211" spans="1:30" s="170" customFormat="1" ht="20.399999999999999">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74"/>
        <v/>
      </c>
      <c r="T2211" s="155" t="str">
        <f ca="1">IF(B2211="","",IF(ISERROR(MATCH($J2211,SorP!$B$1:$B$6226,0)),"",INDIRECT("'SorP'!$A$"&amp;MATCH($S2211&amp;$J2211,SorP!C:C,0))))</f>
        <v/>
      </c>
      <c r="U2211" s="168"/>
      <c r="V2211" s="169" t="e">
        <f>IF(C2211="",NA(),MATCH($B2211&amp;$C2211,'Smelter Look-up'!$J:$J,0))</f>
        <v>#N/A</v>
      </c>
      <c r="X2211" s="170">
        <f t="shared" ca="1" si="173"/>
        <v>0</v>
      </c>
      <c r="AB2211" s="313" t="str">
        <f t="shared" si="175"/>
        <v/>
      </c>
      <c r="AC2211" s="170" t="str">
        <f t="shared" si="176"/>
        <v/>
      </c>
      <c r="AD2211" s="170" t="str">
        <f t="shared" si="177"/>
        <v/>
      </c>
    </row>
    <row r="2212" spans="1:30" s="170" customFormat="1" ht="20.399999999999999">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74"/>
        <v/>
      </c>
      <c r="T2212" s="155" t="str">
        <f ca="1">IF(B2212="","",IF(ISERROR(MATCH($J2212,SorP!$B$1:$B$6226,0)),"",INDIRECT("'SorP'!$A$"&amp;MATCH($S2212&amp;$J2212,SorP!C:C,0))))</f>
        <v/>
      </c>
      <c r="U2212" s="168"/>
      <c r="V2212" s="169" t="e">
        <f>IF(C2212="",NA(),MATCH($B2212&amp;$C2212,'Smelter Look-up'!$J:$J,0))</f>
        <v>#N/A</v>
      </c>
      <c r="X2212" s="170">
        <f t="shared" ca="1" si="173"/>
        <v>0</v>
      </c>
      <c r="AB2212" s="313" t="str">
        <f t="shared" si="175"/>
        <v/>
      </c>
      <c r="AC2212" s="170" t="str">
        <f t="shared" si="176"/>
        <v/>
      </c>
      <c r="AD2212" s="170" t="str">
        <f t="shared" si="177"/>
        <v/>
      </c>
    </row>
    <row r="2213" spans="1:30" s="170" customFormat="1" ht="20.399999999999999">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74"/>
        <v/>
      </c>
      <c r="T2213" s="155" t="str">
        <f ca="1">IF(B2213="","",IF(ISERROR(MATCH($J2213,SorP!$B$1:$B$6226,0)),"",INDIRECT("'SorP'!$A$"&amp;MATCH($S2213&amp;$J2213,SorP!C:C,0))))</f>
        <v/>
      </c>
      <c r="U2213" s="168"/>
      <c r="V2213" s="169" t="e">
        <f>IF(C2213="",NA(),MATCH($B2213&amp;$C2213,'Smelter Look-up'!$J:$J,0))</f>
        <v>#N/A</v>
      </c>
      <c r="X2213" s="170">
        <f t="shared" ca="1" si="173"/>
        <v>0</v>
      </c>
      <c r="AB2213" s="313" t="str">
        <f t="shared" si="175"/>
        <v/>
      </c>
      <c r="AC2213" s="170" t="str">
        <f t="shared" si="176"/>
        <v/>
      </c>
      <c r="AD2213" s="170" t="str">
        <f t="shared" si="177"/>
        <v/>
      </c>
    </row>
    <row r="2214" spans="1:30" s="170" customFormat="1" ht="20.399999999999999">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74"/>
        <v/>
      </c>
      <c r="T2214" s="155" t="str">
        <f ca="1">IF(B2214="","",IF(ISERROR(MATCH($J2214,SorP!$B$1:$B$6226,0)),"",INDIRECT("'SorP'!$A$"&amp;MATCH($S2214&amp;$J2214,SorP!C:C,0))))</f>
        <v/>
      </c>
      <c r="U2214" s="168"/>
      <c r="V2214" s="169" t="e">
        <f>IF(C2214="",NA(),MATCH($B2214&amp;$C2214,'Smelter Look-up'!$J:$J,0))</f>
        <v>#N/A</v>
      </c>
      <c r="X2214" s="170">
        <f t="shared" ca="1" si="173"/>
        <v>0</v>
      </c>
      <c r="AB2214" s="313" t="str">
        <f t="shared" si="175"/>
        <v/>
      </c>
      <c r="AC2214" s="170" t="str">
        <f t="shared" si="176"/>
        <v/>
      </c>
      <c r="AD2214" s="170" t="str">
        <f t="shared" si="177"/>
        <v/>
      </c>
    </row>
    <row r="2215" spans="1:30" s="170" customFormat="1" ht="20.399999999999999">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74"/>
        <v/>
      </c>
      <c r="T2215" s="155" t="str">
        <f ca="1">IF(B2215="","",IF(ISERROR(MATCH($J2215,SorP!$B$1:$B$6226,0)),"",INDIRECT("'SorP'!$A$"&amp;MATCH($S2215&amp;$J2215,SorP!C:C,0))))</f>
        <v/>
      </c>
      <c r="U2215" s="168"/>
      <c r="V2215" s="169" t="e">
        <f>IF(C2215="",NA(),MATCH($B2215&amp;$C2215,'Smelter Look-up'!$J:$J,0))</f>
        <v>#N/A</v>
      </c>
      <c r="X2215" s="170">
        <f t="shared" ca="1" si="173"/>
        <v>0</v>
      </c>
      <c r="AB2215" s="313" t="str">
        <f t="shared" si="175"/>
        <v/>
      </c>
      <c r="AC2215" s="170" t="str">
        <f t="shared" si="176"/>
        <v/>
      </c>
      <c r="AD2215" s="170" t="str">
        <f t="shared" si="177"/>
        <v/>
      </c>
    </row>
    <row r="2216" spans="1:30" s="170" customFormat="1" ht="20.399999999999999">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74"/>
        <v/>
      </c>
      <c r="T2216" s="155" t="str">
        <f ca="1">IF(B2216="","",IF(ISERROR(MATCH($J2216,SorP!$B$1:$B$6226,0)),"",INDIRECT("'SorP'!$A$"&amp;MATCH($S2216&amp;$J2216,SorP!C:C,0))))</f>
        <v/>
      </c>
      <c r="U2216" s="168"/>
      <c r="V2216" s="169" t="e">
        <f>IF(C2216="",NA(),MATCH($B2216&amp;$C2216,'Smelter Look-up'!$J:$J,0))</f>
        <v>#N/A</v>
      </c>
      <c r="X2216" s="170">
        <f t="shared" ca="1" si="173"/>
        <v>0</v>
      </c>
      <c r="AB2216" s="313" t="str">
        <f t="shared" si="175"/>
        <v/>
      </c>
      <c r="AC2216" s="170" t="str">
        <f t="shared" si="176"/>
        <v/>
      </c>
      <c r="AD2216" s="170" t="str">
        <f t="shared" si="177"/>
        <v/>
      </c>
    </row>
    <row r="2217" spans="1:30" s="170" customFormat="1" ht="20.399999999999999">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74"/>
        <v/>
      </c>
      <c r="T2217" s="155" t="str">
        <f ca="1">IF(B2217="","",IF(ISERROR(MATCH($J2217,SorP!$B$1:$B$6226,0)),"",INDIRECT("'SorP'!$A$"&amp;MATCH($S2217&amp;$J2217,SorP!C:C,0))))</f>
        <v/>
      </c>
      <c r="U2217" s="168"/>
      <c r="V2217" s="169" t="e">
        <f>IF(C2217="",NA(),MATCH($B2217&amp;$C2217,'Smelter Look-up'!$J:$J,0))</f>
        <v>#N/A</v>
      </c>
      <c r="X2217" s="170">
        <f t="shared" ca="1" si="173"/>
        <v>0</v>
      </c>
      <c r="AB2217" s="313" t="str">
        <f t="shared" si="175"/>
        <v/>
      </c>
      <c r="AC2217" s="170" t="str">
        <f t="shared" si="176"/>
        <v/>
      </c>
      <c r="AD2217" s="170" t="str">
        <f t="shared" si="177"/>
        <v/>
      </c>
    </row>
    <row r="2218" spans="1:30" s="170" customFormat="1" ht="20.399999999999999">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74"/>
        <v/>
      </c>
      <c r="T2218" s="155" t="str">
        <f ca="1">IF(B2218="","",IF(ISERROR(MATCH($J2218,SorP!$B$1:$B$6226,0)),"",INDIRECT("'SorP'!$A$"&amp;MATCH($S2218&amp;$J2218,SorP!C:C,0))))</f>
        <v/>
      </c>
      <c r="U2218" s="168"/>
      <c r="V2218" s="169" t="e">
        <f>IF(C2218="",NA(),MATCH($B2218&amp;$C2218,'Smelter Look-up'!$J:$J,0))</f>
        <v>#N/A</v>
      </c>
      <c r="X2218" s="170">
        <f t="shared" ca="1" si="173"/>
        <v>0</v>
      </c>
      <c r="AB2218" s="313" t="str">
        <f t="shared" si="175"/>
        <v/>
      </c>
      <c r="AC2218" s="170" t="str">
        <f t="shared" si="176"/>
        <v/>
      </c>
      <c r="AD2218" s="170" t="str">
        <f t="shared" si="177"/>
        <v/>
      </c>
    </row>
    <row r="2219" spans="1:30" s="170" customFormat="1" ht="20.399999999999999">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74"/>
        <v/>
      </c>
      <c r="T2219" s="155" t="str">
        <f ca="1">IF(B2219="","",IF(ISERROR(MATCH($J2219,SorP!$B$1:$B$6226,0)),"",INDIRECT("'SorP'!$A$"&amp;MATCH($S2219&amp;$J2219,SorP!C:C,0))))</f>
        <v/>
      </c>
      <c r="U2219" s="168"/>
      <c r="V2219" s="169" t="e">
        <f>IF(C2219="",NA(),MATCH($B2219&amp;$C2219,'Smelter Look-up'!$J:$J,0))</f>
        <v>#N/A</v>
      </c>
      <c r="X2219" s="170">
        <f t="shared" ca="1" si="173"/>
        <v>0</v>
      </c>
      <c r="AB2219" s="313" t="str">
        <f t="shared" si="175"/>
        <v/>
      </c>
      <c r="AC2219" s="170" t="str">
        <f t="shared" si="176"/>
        <v/>
      </c>
      <c r="AD2219" s="170" t="str">
        <f t="shared" si="177"/>
        <v/>
      </c>
    </row>
    <row r="2220" spans="1:30" s="170" customFormat="1" ht="20.399999999999999">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74"/>
        <v/>
      </c>
      <c r="T2220" s="155" t="str">
        <f ca="1">IF(B2220="","",IF(ISERROR(MATCH($J2220,SorP!$B$1:$B$6226,0)),"",INDIRECT("'SorP'!$A$"&amp;MATCH($S2220&amp;$J2220,SorP!C:C,0))))</f>
        <v/>
      </c>
      <c r="U2220" s="168"/>
      <c r="V2220" s="169" t="e">
        <f>IF(C2220="",NA(),MATCH($B2220&amp;$C2220,'Smelter Look-up'!$J:$J,0))</f>
        <v>#N/A</v>
      </c>
      <c r="X2220" s="170">
        <f t="shared" ca="1" si="173"/>
        <v>0</v>
      </c>
      <c r="AB2220" s="313" t="str">
        <f t="shared" si="175"/>
        <v/>
      </c>
      <c r="AC2220" s="170" t="str">
        <f t="shared" si="176"/>
        <v/>
      </c>
      <c r="AD2220" s="170" t="str">
        <f t="shared" si="177"/>
        <v/>
      </c>
    </row>
    <row r="2221" spans="1:30" s="170" customFormat="1" ht="20.399999999999999">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74"/>
        <v/>
      </c>
      <c r="T2221" s="155" t="str">
        <f ca="1">IF(B2221="","",IF(ISERROR(MATCH($J2221,SorP!$B$1:$B$6226,0)),"",INDIRECT("'SorP'!$A$"&amp;MATCH($S2221&amp;$J2221,SorP!C:C,0))))</f>
        <v/>
      </c>
      <c r="U2221" s="168"/>
      <c r="V2221" s="169" t="e">
        <f>IF(C2221="",NA(),MATCH($B2221&amp;$C2221,'Smelter Look-up'!$J:$J,0))</f>
        <v>#N/A</v>
      </c>
      <c r="X2221" s="170">
        <f t="shared" ca="1" si="173"/>
        <v>0</v>
      </c>
      <c r="AB2221" s="313" t="str">
        <f t="shared" si="175"/>
        <v/>
      </c>
      <c r="AC2221" s="170" t="str">
        <f t="shared" si="176"/>
        <v/>
      </c>
      <c r="AD2221" s="170" t="str">
        <f t="shared" si="177"/>
        <v/>
      </c>
    </row>
    <row r="2222" spans="1:30" s="170" customFormat="1" ht="20.399999999999999">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74"/>
        <v/>
      </c>
      <c r="T2222" s="155" t="str">
        <f ca="1">IF(B2222="","",IF(ISERROR(MATCH($J2222,SorP!$B$1:$B$6226,0)),"",INDIRECT("'SorP'!$A$"&amp;MATCH($S2222&amp;$J2222,SorP!C:C,0))))</f>
        <v/>
      </c>
      <c r="U2222" s="168"/>
      <c r="V2222" s="169" t="e">
        <f>IF(C2222="",NA(),MATCH($B2222&amp;$C2222,'Smelter Look-up'!$J:$J,0))</f>
        <v>#N/A</v>
      </c>
      <c r="X2222" s="170">
        <f t="shared" ca="1" si="173"/>
        <v>0</v>
      </c>
      <c r="AB2222" s="313" t="str">
        <f t="shared" si="175"/>
        <v/>
      </c>
      <c r="AC2222" s="170" t="str">
        <f t="shared" si="176"/>
        <v/>
      </c>
      <c r="AD2222" s="170" t="str">
        <f t="shared" si="177"/>
        <v/>
      </c>
    </row>
    <row r="2223" spans="1:30" s="170" customFormat="1" ht="20.399999999999999">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74"/>
        <v/>
      </c>
      <c r="T2223" s="155" t="str">
        <f ca="1">IF(B2223="","",IF(ISERROR(MATCH($J2223,SorP!$B$1:$B$6226,0)),"",INDIRECT("'SorP'!$A$"&amp;MATCH($S2223&amp;$J2223,SorP!C:C,0))))</f>
        <v/>
      </c>
      <c r="U2223" s="168"/>
      <c r="V2223" s="169" t="e">
        <f>IF(C2223="",NA(),MATCH($B2223&amp;$C2223,'Smelter Look-up'!$J:$J,0))</f>
        <v>#N/A</v>
      </c>
      <c r="X2223" s="170">
        <f t="shared" ca="1" si="173"/>
        <v>0</v>
      </c>
      <c r="AB2223" s="313" t="str">
        <f t="shared" si="175"/>
        <v/>
      </c>
      <c r="AC2223" s="170" t="str">
        <f t="shared" si="176"/>
        <v/>
      </c>
      <c r="AD2223" s="170" t="str">
        <f t="shared" si="177"/>
        <v/>
      </c>
    </row>
    <row r="2224" spans="1:30" s="170" customFormat="1" ht="20.399999999999999">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74"/>
        <v/>
      </c>
      <c r="T2224" s="155" t="str">
        <f ca="1">IF(B2224="","",IF(ISERROR(MATCH($J2224,SorP!$B$1:$B$6226,0)),"",INDIRECT("'SorP'!$A$"&amp;MATCH($S2224&amp;$J2224,SorP!C:C,0))))</f>
        <v/>
      </c>
      <c r="U2224" s="168"/>
      <c r="V2224" s="169" t="e">
        <f>IF(C2224="",NA(),MATCH($B2224&amp;$C2224,'Smelter Look-up'!$J:$J,0))</f>
        <v>#N/A</v>
      </c>
      <c r="X2224" s="170">
        <f t="shared" ca="1" si="173"/>
        <v>0</v>
      </c>
      <c r="AB2224" s="313" t="str">
        <f t="shared" si="175"/>
        <v/>
      </c>
      <c r="AC2224" s="170" t="str">
        <f t="shared" si="176"/>
        <v/>
      </c>
      <c r="AD2224" s="170" t="str">
        <f t="shared" si="177"/>
        <v/>
      </c>
    </row>
    <row r="2225" spans="1:30" s="170" customFormat="1" ht="20.399999999999999">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74"/>
        <v/>
      </c>
      <c r="T2225" s="155" t="str">
        <f ca="1">IF(B2225="","",IF(ISERROR(MATCH($J2225,SorP!$B$1:$B$6226,0)),"",INDIRECT("'SorP'!$A$"&amp;MATCH($S2225&amp;$J2225,SorP!C:C,0))))</f>
        <v/>
      </c>
      <c r="U2225" s="168"/>
      <c r="V2225" s="169" t="e">
        <f>IF(C2225="",NA(),MATCH($B2225&amp;$C2225,'Smelter Look-up'!$J:$J,0))</f>
        <v>#N/A</v>
      </c>
      <c r="X2225" s="170">
        <f t="shared" ca="1" si="173"/>
        <v>0</v>
      </c>
      <c r="AB2225" s="313" t="str">
        <f t="shared" si="175"/>
        <v/>
      </c>
      <c r="AC2225" s="170" t="str">
        <f t="shared" si="176"/>
        <v/>
      </c>
      <c r="AD2225" s="170" t="str">
        <f t="shared" si="177"/>
        <v/>
      </c>
    </row>
    <row r="2226" spans="1:30" s="170" customFormat="1" ht="20.399999999999999">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74"/>
        <v/>
      </c>
      <c r="T2226" s="155" t="str">
        <f ca="1">IF(B2226="","",IF(ISERROR(MATCH($J2226,SorP!$B$1:$B$6226,0)),"",INDIRECT("'SorP'!$A$"&amp;MATCH($S2226&amp;$J2226,SorP!C:C,0))))</f>
        <v/>
      </c>
      <c r="U2226" s="168"/>
      <c r="V2226" s="169" t="e">
        <f>IF(C2226="",NA(),MATCH($B2226&amp;$C2226,'Smelter Look-up'!$J:$J,0))</f>
        <v>#N/A</v>
      </c>
      <c r="X2226" s="170">
        <f t="shared" ca="1" si="173"/>
        <v>0</v>
      </c>
      <c r="AB2226" s="313" t="str">
        <f t="shared" si="175"/>
        <v/>
      </c>
      <c r="AC2226" s="170" t="str">
        <f t="shared" si="176"/>
        <v/>
      </c>
      <c r="AD2226" s="170" t="str">
        <f t="shared" si="177"/>
        <v/>
      </c>
    </row>
    <row r="2227" spans="1:30" s="170" customFormat="1" ht="20.399999999999999">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74"/>
        <v/>
      </c>
      <c r="T2227" s="155" t="str">
        <f ca="1">IF(B2227="","",IF(ISERROR(MATCH($J2227,SorP!$B$1:$B$6226,0)),"",INDIRECT("'SorP'!$A$"&amp;MATCH($S2227&amp;$J2227,SorP!C:C,0))))</f>
        <v/>
      </c>
      <c r="U2227" s="168"/>
      <c r="V2227" s="169" t="e">
        <f>IF(C2227="",NA(),MATCH($B2227&amp;$C2227,'Smelter Look-up'!$J:$J,0))</f>
        <v>#N/A</v>
      </c>
      <c r="X2227" s="170">
        <f t="shared" ca="1" si="173"/>
        <v>0</v>
      </c>
      <c r="AB2227" s="313" t="str">
        <f t="shared" si="175"/>
        <v/>
      </c>
      <c r="AC2227" s="170" t="str">
        <f t="shared" si="176"/>
        <v/>
      </c>
      <c r="AD2227" s="170" t="str">
        <f t="shared" si="177"/>
        <v/>
      </c>
    </row>
    <row r="2228" spans="1:30" s="170" customFormat="1" ht="20.399999999999999">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74"/>
        <v/>
      </c>
      <c r="T2228" s="155" t="str">
        <f ca="1">IF(B2228="","",IF(ISERROR(MATCH($J2228,SorP!$B$1:$B$6226,0)),"",INDIRECT("'SorP'!$A$"&amp;MATCH($S2228&amp;$J2228,SorP!C:C,0))))</f>
        <v/>
      </c>
      <c r="U2228" s="168"/>
      <c r="V2228" s="169" t="e">
        <f>IF(C2228="",NA(),MATCH($B2228&amp;$C2228,'Smelter Look-up'!$J:$J,0))</f>
        <v>#N/A</v>
      </c>
      <c r="X2228" s="170">
        <f t="shared" ca="1" si="173"/>
        <v>0</v>
      </c>
      <c r="AB2228" s="313" t="str">
        <f t="shared" si="175"/>
        <v/>
      </c>
      <c r="AC2228" s="170" t="str">
        <f t="shared" si="176"/>
        <v/>
      </c>
      <c r="AD2228" s="170" t="str">
        <f t="shared" si="177"/>
        <v/>
      </c>
    </row>
    <row r="2229" spans="1:30" s="170" customFormat="1" ht="20.399999999999999">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74"/>
        <v/>
      </c>
      <c r="T2229" s="155" t="str">
        <f ca="1">IF(B2229="","",IF(ISERROR(MATCH($J2229,SorP!$B$1:$B$6226,0)),"",INDIRECT("'SorP'!$A$"&amp;MATCH($S2229&amp;$J2229,SorP!C:C,0))))</f>
        <v/>
      </c>
      <c r="U2229" s="168"/>
      <c r="V2229" s="169" t="e">
        <f>IF(C2229="",NA(),MATCH($B2229&amp;$C2229,'Smelter Look-up'!$J:$J,0))</f>
        <v>#N/A</v>
      </c>
      <c r="X2229" s="170">
        <f t="shared" ca="1" si="173"/>
        <v>0</v>
      </c>
      <c r="AB2229" s="313" t="str">
        <f t="shared" si="175"/>
        <v/>
      </c>
      <c r="AC2229" s="170" t="str">
        <f t="shared" si="176"/>
        <v/>
      </c>
      <c r="AD2229" s="170" t="str">
        <f t="shared" si="177"/>
        <v/>
      </c>
    </row>
    <row r="2230" spans="1:30" s="170" customFormat="1" ht="20.399999999999999">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74"/>
        <v/>
      </c>
      <c r="T2230" s="155" t="str">
        <f ca="1">IF(B2230="","",IF(ISERROR(MATCH($J2230,SorP!$B$1:$B$6226,0)),"",INDIRECT("'SorP'!$A$"&amp;MATCH($S2230&amp;$J2230,SorP!C:C,0))))</f>
        <v/>
      </c>
      <c r="U2230" s="168"/>
      <c r="V2230" s="169" t="e">
        <f>IF(C2230="",NA(),MATCH($B2230&amp;$C2230,'Smelter Look-up'!$J:$J,0))</f>
        <v>#N/A</v>
      </c>
      <c r="X2230" s="170">
        <f t="shared" ca="1" si="173"/>
        <v>0</v>
      </c>
      <c r="AB2230" s="313" t="str">
        <f t="shared" si="175"/>
        <v/>
      </c>
      <c r="AC2230" s="170" t="str">
        <f t="shared" si="176"/>
        <v/>
      </c>
      <c r="AD2230" s="170" t="str">
        <f t="shared" si="177"/>
        <v/>
      </c>
    </row>
    <row r="2231" spans="1:30" s="170" customFormat="1" ht="20.399999999999999">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74"/>
        <v/>
      </c>
      <c r="T2231" s="155" t="str">
        <f ca="1">IF(B2231="","",IF(ISERROR(MATCH($J2231,SorP!$B$1:$B$6226,0)),"",INDIRECT("'SorP'!$A$"&amp;MATCH($S2231&amp;$J2231,SorP!C:C,0))))</f>
        <v/>
      </c>
      <c r="U2231" s="168"/>
      <c r="V2231" s="169" t="e">
        <f>IF(C2231="",NA(),MATCH($B2231&amp;$C2231,'Smelter Look-up'!$J:$J,0))</f>
        <v>#N/A</v>
      </c>
      <c r="X2231" s="170">
        <f t="shared" ca="1" si="173"/>
        <v>0</v>
      </c>
      <c r="AB2231" s="313" t="str">
        <f t="shared" si="175"/>
        <v/>
      </c>
      <c r="AC2231" s="170" t="str">
        <f t="shared" si="176"/>
        <v/>
      </c>
      <c r="AD2231" s="170" t="str">
        <f t="shared" si="177"/>
        <v/>
      </c>
    </row>
    <row r="2232" spans="1:30" s="170" customFormat="1" ht="20.399999999999999">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74"/>
        <v/>
      </c>
      <c r="T2232" s="155" t="str">
        <f ca="1">IF(B2232="","",IF(ISERROR(MATCH($J2232,SorP!$B$1:$B$6226,0)),"",INDIRECT("'SorP'!$A$"&amp;MATCH($S2232&amp;$J2232,SorP!C:C,0))))</f>
        <v/>
      </c>
      <c r="U2232" s="168"/>
      <c r="V2232" s="169" t="e">
        <f>IF(C2232="",NA(),MATCH($B2232&amp;$C2232,'Smelter Look-up'!$J:$J,0))</f>
        <v>#N/A</v>
      </c>
      <c r="X2232" s="170">
        <f t="shared" ca="1" si="173"/>
        <v>0</v>
      </c>
      <c r="AB2232" s="313" t="str">
        <f t="shared" si="175"/>
        <v/>
      </c>
      <c r="AC2232" s="170" t="str">
        <f t="shared" si="176"/>
        <v/>
      </c>
      <c r="AD2232" s="170" t="str">
        <f t="shared" si="177"/>
        <v/>
      </c>
    </row>
    <row r="2233" spans="1:30" s="170" customFormat="1" ht="20.399999999999999">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74"/>
        <v/>
      </c>
      <c r="T2233" s="155" t="str">
        <f ca="1">IF(B2233="","",IF(ISERROR(MATCH($J2233,SorP!$B$1:$B$6226,0)),"",INDIRECT("'SorP'!$A$"&amp;MATCH($S2233&amp;$J2233,SorP!C:C,0))))</f>
        <v/>
      </c>
      <c r="U2233" s="168"/>
      <c r="V2233" s="169" t="e">
        <f>IF(C2233="",NA(),MATCH($B2233&amp;$C2233,'Smelter Look-up'!$J:$J,0))</f>
        <v>#N/A</v>
      </c>
      <c r="X2233" s="170">
        <f t="shared" ca="1" si="173"/>
        <v>0</v>
      </c>
      <c r="AB2233" s="313" t="str">
        <f t="shared" si="175"/>
        <v/>
      </c>
      <c r="AC2233" s="170" t="str">
        <f t="shared" si="176"/>
        <v/>
      </c>
      <c r="AD2233" s="170" t="str">
        <f t="shared" si="177"/>
        <v/>
      </c>
    </row>
    <row r="2234" spans="1:30" s="170" customFormat="1" ht="20.399999999999999">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74"/>
        <v/>
      </c>
      <c r="T2234" s="155" t="str">
        <f ca="1">IF(B2234="","",IF(ISERROR(MATCH($J2234,SorP!$B$1:$B$6226,0)),"",INDIRECT("'SorP'!$A$"&amp;MATCH($S2234&amp;$J2234,SorP!C:C,0))))</f>
        <v/>
      </c>
      <c r="U2234" s="168"/>
      <c r="V2234" s="169" t="e">
        <f>IF(C2234="",NA(),MATCH($B2234&amp;$C2234,'Smelter Look-up'!$J:$J,0))</f>
        <v>#N/A</v>
      </c>
      <c r="X2234" s="170">
        <f t="shared" ca="1" si="173"/>
        <v>0</v>
      </c>
      <c r="AB2234" s="313" t="str">
        <f t="shared" si="175"/>
        <v/>
      </c>
      <c r="AC2234" s="170" t="str">
        <f t="shared" si="176"/>
        <v/>
      </c>
      <c r="AD2234" s="170" t="str">
        <f t="shared" si="177"/>
        <v/>
      </c>
    </row>
    <row r="2235" spans="1:30" s="170" customFormat="1" ht="20.399999999999999">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74"/>
        <v/>
      </c>
      <c r="T2235" s="155" t="str">
        <f ca="1">IF(B2235="","",IF(ISERROR(MATCH($J2235,SorP!$B$1:$B$6226,0)),"",INDIRECT("'SorP'!$A$"&amp;MATCH($S2235&amp;$J2235,SorP!C:C,0))))</f>
        <v/>
      </c>
      <c r="U2235" s="168"/>
      <c r="V2235" s="169" t="e">
        <f>IF(C2235="",NA(),MATCH($B2235&amp;$C2235,'Smelter Look-up'!$J:$J,0))</f>
        <v>#N/A</v>
      </c>
      <c r="X2235" s="170">
        <f t="shared" ca="1" si="173"/>
        <v>0</v>
      </c>
      <c r="AB2235" s="313" t="str">
        <f t="shared" si="175"/>
        <v/>
      </c>
      <c r="AC2235" s="170" t="str">
        <f t="shared" si="176"/>
        <v/>
      </c>
      <c r="AD2235" s="170" t="str">
        <f t="shared" si="177"/>
        <v/>
      </c>
    </row>
    <row r="2236" spans="1:30" s="170" customFormat="1" ht="20.399999999999999">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74"/>
        <v/>
      </c>
      <c r="T2236" s="155" t="str">
        <f ca="1">IF(B2236="","",IF(ISERROR(MATCH($J2236,SorP!$B$1:$B$6226,0)),"",INDIRECT("'SorP'!$A$"&amp;MATCH($S2236&amp;$J2236,SorP!C:C,0))))</f>
        <v/>
      </c>
      <c r="U2236" s="168"/>
      <c r="V2236" s="169" t="e">
        <f>IF(C2236="",NA(),MATCH($B2236&amp;$C2236,'Smelter Look-up'!$J:$J,0))</f>
        <v>#N/A</v>
      </c>
      <c r="X2236" s="170">
        <f t="shared" ca="1" si="173"/>
        <v>0</v>
      </c>
      <c r="AB2236" s="313" t="str">
        <f t="shared" si="175"/>
        <v/>
      </c>
      <c r="AC2236" s="170" t="str">
        <f t="shared" si="176"/>
        <v/>
      </c>
      <c r="AD2236" s="170" t="str">
        <f t="shared" si="177"/>
        <v/>
      </c>
    </row>
    <row r="2237" spans="1:30" s="170" customFormat="1" ht="20.399999999999999">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74"/>
        <v/>
      </c>
      <c r="T2237" s="155" t="str">
        <f ca="1">IF(B2237="","",IF(ISERROR(MATCH($J2237,SorP!$B$1:$B$6226,0)),"",INDIRECT("'SorP'!$A$"&amp;MATCH($S2237&amp;$J2237,SorP!C:C,0))))</f>
        <v/>
      </c>
      <c r="U2237" s="168"/>
      <c r="V2237" s="169" t="e">
        <f>IF(C2237="",NA(),MATCH($B2237&amp;$C2237,'Smelter Look-up'!$J:$J,0))</f>
        <v>#N/A</v>
      </c>
      <c r="X2237" s="170">
        <f t="shared" ca="1" si="173"/>
        <v>0</v>
      </c>
      <c r="AB2237" s="313" t="str">
        <f t="shared" si="175"/>
        <v/>
      </c>
      <c r="AC2237" s="170" t="str">
        <f t="shared" si="176"/>
        <v/>
      </c>
      <c r="AD2237" s="170" t="str">
        <f t="shared" si="177"/>
        <v/>
      </c>
    </row>
    <row r="2238" spans="1:30" s="170" customFormat="1" ht="20.399999999999999">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74"/>
        <v/>
      </c>
      <c r="T2238" s="155" t="str">
        <f ca="1">IF(B2238="","",IF(ISERROR(MATCH($J2238,SorP!$B$1:$B$6226,0)),"",INDIRECT("'SorP'!$A$"&amp;MATCH($S2238&amp;$J2238,SorP!C:C,0))))</f>
        <v/>
      </c>
      <c r="U2238" s="168"/>
      <c r="V2238" s="169" t="e">
        <f>IF(C2238="",NA(),MATCH($B2238&amp;$C2238,'Smelter Look-up'!$J:$J,0))</f>
        <v>#N/A</v>
      </c>
      <c r="X2238" s="170">
        <f t="shared" ca="1" si="173"/>
        <v>0</v>
      </c>
      <c r="AB2238" s="313" t="str">
        <f t="shared" si="175"/>
        <v/>
      </c>
      <c r="AC2238" s="170" t="str">
        <f t="shared" si="176"/>
        <v/>
      </c>
      <c r="AD2238" s="170" t="str">
        <f t="shared" si="177"/>
        <v/>
      </c>
    </row>
    <row r="2239" spans="1:30" s="170" customFormat="1" ht="20.399999999999999">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74"/>
        <v/>
      </c>
      <c r="T2239" s="155" t="str">
        <f ca="1">IF(B2239="","",IF(ISERROR(MATCH($J2239,SorP!$B$1:$B$6226,0)),"",INDIRECT("'SorP'!$A$"&amp;MATCH($S2239&amp;$J2239,SorP!C:C,0))))</f>
        <v/>
      </c>
      <c r="U2239" s="168"/>
      <c r="V2239" s="169" t="e">
        <f>IF(C2239="",NA(),MATCH($B2239&amp;$C2239,'Smelter Look-up'!$J:$J,0))</f>
        <v>#N/A</v>
      </c>
      <c r="X2239" s="170">
        <f t="shared" ref="X2239:X2302" ca="1" si="178">IF(AND(C2239="Smelter not listed",OR(LEN(D2239)=0,LEN(E2239)=0)),1,0)</f>
        <v>0</v>
      </c>
      <c r="AB2239" s="313" t="str">
        <f t="shared" si="175"/>
        <v/>
      </c>
      <c r="AC2239" s="170" t="str">
        <f t="shared" si="176"/>
        <v/>
      </c>
      <c r="AD2239" s="170" t="str">
        <f t="shared" si="177"/>
        <v/>
      </c>
    </row>
    <row r="2240" spans="1:30" s="170" customFormat="1" ht="20.399999999999999">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ref="S2240:S2303" ca="1" si="17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78"/>
        <v>0</v>
      </c>
      <c r="AB2240" s="313" t="str">
        <f t="shared" si="175"/>
        <v/>
      </c>
      <c r="AC2240" s="170" t="str">
        <f t="shared" si="176"/>
        <v/>
      </c>
      <c r="AD2240" s="170" t="str">
        <f t="shared" si="177"/>
        <v/>
      </c>
    </row>
    <row r="2241" spans="1:30" s="170" customFormat="1" ht="20.399999999999999">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79"/>
        <v/>
      </c>
      <c r="T2241" s="155" t="str">
        <f ca="1">IF(B2241="","",IF(ISERROR(MATCH($J2241,SorP!$B$1:$B$6226,0)),"",INDIRECT("'SorP'!$A$"&amp;MATCH($S2241&amp;$J2241,SorP!C:C,0))))</f>
        <v/>
      </c>
      <c r="U2241" s="168"/>
      <c r="V2241" s="169" t="e">
        <f>IF(C2241="",NA(),MATCH($B2241&amp;$C2241,'Smelter Look-up'!$J:$J,0))</f>
        <v>#N/A</v>
      </c>
      <c r="X2241" s="170">
        <f t="shared" ca="1" si="178"/>
        <v>0</v>
      </c>
      <c r="AB2241" s="313" t="str">
        <f t="shared" si="175"/>
        <v/>
      </c>
      <c r="AC2241" s="170" t="str">
        <f t="shared" si="176"/>
        <v/>
      </c>
      <c r="AD2241" s="170" t="str">
        <f t="shared" si="177"/>
        <v/>
      </c>
    </row>
    <row r="2242" spans="1:30" s="170" customFormat="1" ht="20.399999999999999">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79"/>
        <v/>
      </c>
      <c r="T2242" s="155" t="str">
        <f ca="1">IF(B2242="","",IF(ISERROR(MATCH($J2242,SorP!$B$1:$B$6226,0)),"",INDIRECT("'SorP'!$A$"&amp;MATCH($S2242&amp;$J2242,SorP!C:C,0))))</f>
        <v/>
      </c>
      <c r="U2242" s="168"/>
      <c r="V2242" s="169" t="e">
        <f>IF(C2242="",NA(),MATCH($B2242&amp;$C2242,'Smelter Look-up'!$J:$J,0))</f>
        <v>#N/A</v>
      </c>
      <c r="X2242" s="170">
        <f t="shared" ca="1" si="178"/>
        <v>0</v>
      </c>
      <c r="AB2242" s="313" t="str">
        <f t="shared" si="175"/>
        <v/>
      </c>
      <c r="AC2242" s="170" t="str">
        <f t="shared" si="176"/>
        <v/>
      </c>
      <c r="AD2242" s="170" t="str">
        <f t="shared" si="177"/>
        <v/>
      </c>
    </row>
    <row r="2243" spans="1:30" s="170" customFormat="1" ht="20.399999999999999">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79"/>
        <v/>
      </c>
      <c r="T2243" s="155" t="str">
        <f ca="1">IF(B2243="","",IF(ISERROR(MATCH($J2243,SorP!$B$1:$B$6226,0)),"",INDIRECT("'SorP'!$A$"&amp;MATCH($S2243&amp;$J2243,SorP!C:C,0))))</f>
        <v/>
      </c>
      <c r="U2243" s="168"/>
      <c r="V2243" s="169" t="e">
        <f>IF(C2243="",NA(),MATCH($B2243&amp;$C2243,'Smelter Look-up'!$J:$J,0))</f>
        <v>#N/A</v>
      </c>
      <c r="X2243" s="170">
        <f t="shared" ca="1" si="178"/>
        <v>0</v>
      </c>
      <c r="AB2243" s="313" t="str">
        <f t="shared" si="175"/>
        <v/>
      </c>
      <c r="AC2243" s="170" t="str">
        <f t="shared" si="176"/>
        <v/>
      </c>
      <c r="AD2243" s="170" t="str">
        <f t="shared" si="177"/>
        <v/>
      </c>
    </row>
    <row r="2244" spans="1:30" s="170" customFormat="1" ht="20.399999999999999">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79"/>
        <v/>
      </c>
      <c r="T2244" s="155" t="str">
        <f ca="1">IF(B2244="","",IF(ISERROR(MATCH($J2244,SorP!$B$1:$B$6226,0)),"",INDIRECT("'SorP'!$A$"&amp;MATCH($S2244&amp;$J2244,SorP!C:C,0))))</f>
        <v/>
      </c>
      <c r="U2244" s="168"/>
      <c r="V2244" s="169" t="e">
        <f>IF(C2244="",NA(),MATCH($B2244&amp;$C2244,'Smelter Look-up'!$J:$J,0))</f>
        <v>#N/A</v>
      </c>
      <c r="X2244" s="170">
        <f t="shared" ca="1" si="178"/>
        <v>0</v>
      </c>
      <c r="AB2244" s="313" t="str">
        <f t="shared" si="175"/>
        <v/>
      </c>
      <c r="AC2244" s="170" t="str">
        <f t="shared" si="176"/>
        <v/>
      </c>
      <c r="AD2244" s="170" t="str">
        <f t="shared" si="177"/>
        <v/>
      </c>
    </row>
    <row r="2245" spans="1:30" s="170" customFormat="1" ht="20.399999999999999">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79"/>
        <v/>
      </c>
      <c r="T2245" s="155" t="str">
        <f ca="1">IF(B2245="","",IF(ISERROR(MATCH($J2245,SorP!$B$1:$B$6226,0)),"",INDIRECT("'SorP'!$A$"&amp;MATCH($S2245&amp;$J2245,SorP!C:C,0))))</f>
        <v/>
      </c>
      <c r="U2245" s="168"/>
      <c r="V2245" s="169" t="e">
        <f>IF(C2245="",NA(),MATCH($B2245&amp;$C2245,'Smelter Look-up'!$J:$J,0))</f>
        <v>#N/A</v>
      </c>
      <c r="X2245" s="170">
        <f t="shared" ca="1" si="178"/>
        <v>0</v>
      </c>
      <c r="AB2245" s="313" t="str">
        <f t="shared" si="175"/>
        <v/>
      </c>
      <c r="AC2245" s="170" t="str">
        <f t="shared" si="176"/>
        <v/>
      </c>
      <c r="AD2245" s="170" t="str">
        <f t="shared" si="177"/>
        <v/>
      </c>
    </row>
    <row r="2246" spans="1:30" s="170" customFormat="1" ht="20.399999999999999">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79"/>
        <v/>
      </c>
      <c r="T2246" s="155" t="str">
        <f ca="1">IF(B2246="","",IF(ISERROR(MATCH($J2246,SorP!$B$1:$B$6226,0)),"",INDIRECT("'SorP'!$A$"&amp;MATCH($S2246&amp;$J2246,SorP!C:C,0))))</f>
        <v/>
      </c>
      <c r="U2246" s="168"/>
      <c r="V2246" s="169" t="e">
        <f>IF(C2246="",NA(),MATCH($B2246&amp;$C2246,'Smelter Look-up'!$J:$J,0))</f>
        <v>#N/A</v>
      </c>
      <c r="X2246" s="170">
        <f t="shared" ca="1" si="178"/>
        <v>0</v>
      </c>
      <c r="AB2246" s="313" t="str">
        <f t="shared" ref="AB2246:AB2309" si="180">IF(C2246="","",B2246)</f>
        <v/>
      </c>
      <c r="AC2246" s="170" t="str">
        <f t="shared" ref="AC2246:AC2309" si="181">B2246</f>
        <v/>
      </c>
      <c r="AD2246" s="170" t="str">
        <f t="shared" ref="AD2246:AD2309" si="182">IF(C2246="Smelter not listed",D2246,C2246)</f>
        <v/>
      </c>
    </row>
    <row r="2247" spans="1:30" s="170" customFormat="1" ht="20.399999999999999">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79"/>
        <v/>
      </c>
      <c r="T2247" s="155" t="str">
        <f ca="1">IF(B2247="","",IF(ISERROR(MATCH($J2247,SorP!$B$1:$B$6226,0)),"",INDIRECT("'SorP'!$A$"&amp;MATCH($S2247&amp;$J2247,SorP!C:C,0))))</f>
        <v/>
      </c>
      <c r="U2247" s="168"/>
      <c r="V2247" s="169" t="e">
        <f>IF(C2247="",NA(),MATCH($B2247&amp;$C2247,'Smelter Look-up'!$J:$J,0))</f>
        <v>#N/A</v>
      </c>
      <c r="X2247" s="170">
        <f t="shared" ca="1" si="178"/>
        <v>0</v>
      </c>
      <c r="AB2247" s="313" t="str">
        <f t="shared" si="180"/>
        <v/>
      </c>
      <c r="AC2247" s="170" t="str">
        <f t="shared" si="181"/>
        <v/>
      </c>
      <c r="AD2247" s="170" t="str">
        <f t="shared" si="182"/>
        <v/>
      </c>
    </row>
    <row r="2248" spans="1:30" s="170" customFormat="1" ht="20.399999999999999">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79"/>
        <v/>
      </c>
      <c r="T2248" s="155" t="str">
        <f ca="1">IF(B2248="","",IF(ISERROR(MATCH($J2248,SorP!$B$1:$B$6226,0)),"",INDIRECT("'SorP'!$A$"&amp;MATCH($S2248&amp;$J2248,SorP!C:C,0))))</f>
        <v/>
      </c>
      <c r="U2248" s="168"/>
      <c r="V2248" s="169" t="e">
        <f>IF(C2248="",NA(),MATCH($B2248&amp;$C2248,'Smelter Look-up'!$J:$J,0))</f>
        <v>#N/A</v>
      </c>
      <c r="X2248" s="170">
        <f t="shared" ca="1" si="178"/>
        <v>0</v>
      </c>
      <c r="AB2248" s="313" t="str">
        <f t="shared" si="180"/>
        <v/>
      </c>
      <c r="AC2248" s="170" t="str">
        <f t="shared" si="181"/>
        <v/>
      </c>
      <c r="AD2248" s="170" t="str">
        <f t="shared" si="182"/>
        <v/>
      </c>
    </row>
    <row r="2249" spans="1:30" s="170" customFormat="1" ht="20.399999999999999">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79"/>
        <v/>
      </c>
      <c r="T2249" s="155" t="str">
        <f ca="1">IF(B2249="","",IF(ISERROR(MATCH($J2249,SorP!$B$1:$B$6226,0)),"",INDIRECT("'SorP'!$A$"&amp;MATCH($S2249&amp;$J2249,SorP!C:C,0))))</f>
        <v/>
      </c>
      <c r="U2249" s="168"/>
      <c r="V2249" s="169" t="e">
        <f>IF(C2249="",NA(),MATCH($B2249&amp;$C2249,'Smelter Look-up'!$J:$J,0))</f>
        <v>#N/A</v>
      </c>
      <c r="X2249" s="170">
        <f t="shared" ca="1" si="178"/>
        <v>0</v>
      </c>
      <c r="AB2249" s="313" t="str">
        <f t="shared" si="180"/>
        <v/>
      </c>
      <c r="AC2249" s="170" t="str">
        <f t="shared" si="181"/>
        <v/>
      </c>
      <c r="AD2249" s="170" t="str">
        <f t="shared" si="182"/>
        <v/>
      </c>
    </row>
    <row r="2250" spans="1:30" s="170" customFormat="1" ht="20.399999999999999">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79"/>
        <v/>
      </c>
      <c r="T2250" s="155" t="str">
        <f ca="1">IF(B2250="","",IF(ISERROR(MATCH($J2250,SorP!$B$1:$B$6226,0)),"",INDIRECT("'SorP'!$A$"&amp;MATCH($S2250&amp;$J2250,SorP!C:C,0))))</f>
        <v/>
      </c>
      <c r="U2250" s="168"/>
      <c r="V2250" s="169" t="e">
        <f>IF(C2250="",NA(),MATCH($B2250&amp;$C2250,'Smelter Look-up'!$J:$J,0))</f>
        <v>#N/A</v>
      </c>
      <c r="X2250" s="170">
        <f t="shared" ca="1" si="178"/>
        <v>0</v>
      </c>
      <c r="AB2250" s="313" t="str">
        <f t="shared" si="180"/>
        <v/>
      </c>
      <c r="AC2250" s="170" t="str">
        <f t="shared" si="181"/>
        <v/>
      </c>
      <c r="AD2250" s="170" t="str">
        <f t="shared" si="182"/>
        <v/>
      </c>
    </row>
    <row r="2251" spans="1:30" s="170" customFormat="1" ht="20.399999999999999">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79"/>
        <v/>
      </c>
      <c r="T2251" s="155" t="str">
        <f ca="1">IF(B2251="","",IF(ISERROR(MATCH($J2251,SorP!$B$1:$B$6226,0)),"",INDIRECT("'SorP'!$A$"&amp;MATCH($S2251&amp;$J2251,SorP!C:C,0))))</f>
        <v/>
      </c>
      <c r="U2251" s="168"/>
      <c r="V2251" s="169" t="e">
        <f>IF(C2251="",NA(),MATCH($B2251&amp;$C2251,'Smelter Look-up'!$J:$J,0))</f>
        <v>#N/A</v>
      </c>
      <c r="X2251" s="170">
        <f t="shared" ca="1" si="178"/>
        <v>0</v>
      </c>
      <c r="AB2251" s="313" t="str">
        <f t="shared" si="180"/>
        <v/>
      </c>
      <c r="AC2251" s="170" t="str">
        <f t="shared" si="181"/>
        <v/>
      </c>
      <c r="AD2251" s="170" t="str">
        <f t="shared" si="182"/>
        <v/>
      </c>
    </row>
    <row r="2252" spans="1:30" s="170" customFormat="1" ht="20.399999999999999">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79"/>
        <v/>
      </c>
      <c r="T2252" s="155" t="str">
        <f ca="1">IF(B2252="","",IF(ISERROR(MATCH($J2252,SorP!$B$1:$B$6226,0)),"",INDIRECT("'SorP'!$A$"&amp;MATCH($S2252&amp;$J2252,SorP!C:C,0))))</f>
        <v/>
      </c>
      <c r="U2252" s="168"/>
      <c r="V2252" s="169" t="e">
        <f>IF(C2252="",NA(),MATCH($B2252&amp;$C2252,'Smelter Look-up'!$J:$J,0))</f>
        <v>#N/A</v>
      </c>
      <c r="X2252" s="170">
        <f t="shared" ca="1" si="178"/>
        <v>0</v>
      </c>
      <c r="AB2252" s="313" t="str">
        <f t="shared" si="180"/>
        <v/>
      </c>
      <c r="AC2252" s="170" t="str">
        <f t="shared" si="181"/>
        <v/>
      </c>
      <c r="AD2252" s="170" t="str">
        <f t="shared" si="182"/>
        <v/>
      </c>
    </row>
    <row r="2253" spans="1:30" s="170" customFormat="1" ht="20.399999999999999">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79"/>
        <v/>
      </c>
      <c r="T2253" s="155" t="str">
        <f ca="1">IF(B2253="","",IF(ISERROR(MATCH($J2253,SorP!$B$1:$B$6226,0)),"",INDIRECT("'SorP'!$A$"&amp;MATCH($S2253&amp;$J2253,SorP!C:C,0))))</f>
        <v/>
      </c>
      <c r="U2253" s="168"/>
      <c r="V2253" s="169" t="e">
        <f>IF(C2253="",NA(),MATCH($B2253&amp;$C2253,'Smelter Look-up'!$J:$J,0))</f>
        <v>#N/A</v>
      </c>
      <c r="X2253" s="170">
        <f t="shared" ca="1" si="178"/>
        <v>0</v>
      </c>
      <c r="AB2253" s="313" t="str">
        <f t="shared" si="180"/>
        <v/>
      </c>
      <c r="AC2253" s="170" t="str">
        <f t="shared" si="181"/>
        <v/>
      </c>
      <c r="AD2253" s="170" t="str">
        <f t="shared" si="182"/>
        <v/>
      </c>
    </row>
    <row r="2254" spans="1:30" s="170" customFormat="1" ht="20.399999999999999">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79"/>
        <v/>
      </c>
      <c r="T2254" s="155" t="str">
        <f ca="1">IF(B2254="","",IF(ISERROR(MATCH($J2254,SorP!$B$1:$B$6226,0)),"",INDIRECT("'SorP'!$A$"&amp;MATCH($S2254&amp;$J2254,SorP!C:C,0))))</f>
        <v/>
      </c>
      <c r="U2254" s="168"/>
      <c r="V2254" s="169" t="e">
        <f>IF(C2254="",NA(),MATCH($B2254&amp;$C2254,'Smelter Look-up'!$J:$J,0))</f>
        <v>#N/A</v>
      </c>
      <c r="X2254" s="170">
        <f t="shared" ca="1" si="178"/>
        <v>0</v>
      </c>
      <c r="AB2254" s="313" t="str">
        <f t="shared" si="180"/>
        <v/>
      </c>
      <c r="AC2254" s="170" t="str">
        <f t="shared" si="181"/>
        <v/>
      </c>
      <c r="AD2254" s="170" t="str">
        <f t="shared" si="182"/>
        <v/>
      </c>
    </row>
    <row r="2255" spans="1:30" s="170" customFormat="1" ht="20.399999999999999">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79"/>
        <v/>
      </c>
      <c r="T2255" s="155" t="str">
        <f ca="1">IF(B2255="","",IF(ISERROR(MATCH($J2255,SorP!$B$1:$B$6226,0)),"",INDIRECT("'SorP'!$A$"&amp;MATCH($S2255&amp;$J2255,SorP!C:C,0))))</f>
        <v/>
      </c>
      <c r="U2255" s="168"/>
      <c r="V2255" s="169" t="e">
        <f>IF(C2255="",NA(),MATCH($B2255&amp;$C2255,'Smelter Look-up'!$J:$J,0))</f>
        <v>#N/A</v>
      </c>
      <c r="X2255" s="170">
        <f t="shared" ca="1" si="178"/>
        <v>0</v>
      </c>
      <c r="AB2255" s="313" t="str">
        <f t="shared" si="180"/>
        <v/>
      </c>
      <c r="AC2255" s="170" t="str">
        <f t="shared" si="181"/>
        <v/>
      </c>
      <c r="AD2255" s="170" t="str">
        <f t="shared" si="182"/>
        <v/>
      </c>
    </row>
    <row r="2256" spans="1:30" s="170" customFormat="1" ht="20.399999999999999">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79"/>
        <v/>
      </c>
      <c r="T2256" s="155" t="str">
        <f ca="1">IF(B2256="","",IF(ISERROR(MATCH($J2256,SorP!$B$1:$B$6226,0)),"",INDIRECT("'SorP'!$A$"&amp;MATCH($S2256&amp;$J2256,SorP!C:C,0))))</f>
        <v/>
      </c>
      <c r="U2256" s="168"/>
      <c r="V2256" s="169" t="e">
        <f>IF(C2256="",NA(),MATCH($B2256&amp;$C2256,'Smelter Look-up'!$J:$J,0))</f>
        <v>#N/A</v>
      </c>
      <c r="X2256" s="170">
        <f t="shared" ca="1" si="178"/>
        <v>0</v>
      </c>
      <c r="AB2256" s="313" t="str">
        <f t="shared" si="180"/>
        <v/>
      </c>
      <c r="AC2256" s="170" t="str">
        <f t="shared" si="181"/>
        <v/>
      </c>
      <c r="AD2256" s="170" t="str">
        <f t="shared" si="182"/>
        <v/>
      </c>
    </row>
    <row r="2257" spans="1:30" s="170" customFormat="1" ht="20.399999999999999">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79"/>
        <v/>
      </c>
      <c r="T2257" s="155" t="str">
        <f ca="1">IF(B2257="","",IF(ISERROR(MATCH($J2257,SorP!$B$1:$B$6226,0)),"",INDIRECT("'SorP'!$A$"&amp;MATCH($S2257&amp;$J2257,SorP!C:C,0))))</f>
        <v/>
      </c>
      <c r="U2257" s="168"/>
      <c r="V2257" s="169" t="e">
        <f>IF(C2257="",NA(),MATCH($B2257&amp;$C2257,'Smelter Look-up'!$J:$J,0))</f>
        <v>#N/A</v>
      </c>
      <c r="X2257" s="170">
        <f t="shared" ca="1" si="178"/>
        <v>0</v>
      </c>
      <c r="AB2257" s="313" t="str">
        <f t="shared" si="180"/>
        <v/>
      </c>
      <c r="AC2257" s="170" t="str">
        <f t="shared" si="181"/>
        <v/>
      </c>
      <c r="AD2257" s="170" t="str">
        <f t="shared" si="182"/>
        <v/>
      </c>
    </row>
    <row r="2258" spans="1:30" s="170" customFormat="1" ht="20.399999999999999">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79"/>
        <v/>
      </c>
      <c r="T2258" s="155" t="str">
        <f ca="1">IF(B2258="","",IF(ISERROR(MATCH($J2258,SorP!$B$1:$B$6226,0)),"",INDIRECT("'SorP'!$A$"&amp;MATCH($S2258&amp;$J2258,SorP!C:C,0))))</f>
        <v/>
      </c>
      <c r="U2258" s="168"/>
      <c r="V2258" s="169" t="e">
        <f>IF(C2258="",NA(),MATCH($B2258&amp;$C2258,'Smelter Look-up'!$J:$J,0))</f>
        <v>#N/A</v>
      </c>
      <c r="X2258" s="170">
        <f t="shared" ca="1" si="178"/>
        <v>0</v>
      </c>
      <c r="AB2258" s="313" t="str">
        <f t="shared" si="180"/>
        <v/>
      </c>
      <c r="AC2258" s="170" t="str">
        <f t="shared" si="181"/>
        <v/>
      </c>
      <c r="AD2258" s="170" t="str">
        <f t="shared" si="182"/>
        <v/>
      </c>
    </row>
    <row r="2259" spans="1:30" s="170" customFormat="1" ht="20.399999999999999">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79"/>
        <v/>
      </c>
      <c r="T2259" s="155" t="str">
        <f ca="1">IF(B2259="","",IF(ISERROR(MATCH($J2259,SorP!$B$1:$B$6226,0)),"",INDIRECT("'SorP'!$A$"&amp;MATCH($S2259&amp;$J2259,SorP!C:C,0))))</f>
        <v/>
      </c>
      <c r="U2259" s="168"/>
      <c r="V2259" s="169" t="e">
        <f>IF(C2259="",NA(),MATCH($B2259&amp;$C2259,'Smelter Look-up'!$J:$J,0))</f>
        <v>#N/A</v>
      </c>
      <c r="X2259" s="170">
        <f t="shared" ca="1" si="178"/>
        <v>0</v>
      </c>
      <c r="AB2259" s="313" t="str">
        <f t="shared" si="180"/>
        <v/>
      </c>
      <c r="AC2259" s="170" t="str">
        <f t="shared" si="181"/>
        <v/>
      </c>
      <c r="AD2259" s="170" t="str">
        <f t="shared" si="182"/>
        <v/>
      </c>
    </row>
    <row r="2260" spans="1:30" s="170" customFormat="1" ht="20.399999999999999">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79"/>
        <v/>
      </c>
      <c r="T2260" s="155" t="str">
        <f ca="1">IF(B2260="","",IF(ISERROR(MATCH($J2260,SorP!$B$1:$B$6226,0)),"",INDIRECT("'SorP'!$A$"&amp;MATCH($S2260&amp;$J2260,SorP!C:C,0))))</f>
        <v/>
      </c>
      <c r="U2260" s="168"/>
      <c r="V2260" s="169" t="e">
        <f>IF(C2260="",NA(),MATCH($B2260&amp;$C2260,'Smelter Look-up'!$J:$J,0))</f>
        <v>#N/A</v>
      </c>
      <c r="X2260" s="170">
        <f t="shared" ca="1" si="178"/>
        <v>0</v>
      </c>
      <c r="AB2260" s="313" t="str">
        <f t="shared" si="180"/>
        <v/>
      </c>
      <c r="AC2260" s="170" t="str">
        <f t="shared" si="181"/>
        <v/>
      </c>
      <c r="AD2260" s="170" t="str">
        <f t="shared" si="182"/>
        <v/>
      </c>
    </row>
    <row r="2261" spans="1:30" s="170" customFormat="1" ht="20.399999999999999">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79"/>
        <v/>
      </c>
      <c r="T2261" s="155" t="str">
        <f ca="1">IF(B2261="","",IF(ISERROR(MATCH($J2261,SorP!$B$1:$B$6226,0)),"",INDIRECT("'SorP'!$A$"&amp;MATCH($S2261&amp;$J2261,SorP!C:C,0))))</f>
        <v/>
      </c>
      <c r="U2261" s="168"/>
      <c r="V2261" s="169" t="e">
        <f>IF(C2261="",NA(),MATCH($B2261&amp;$C2261,'Smelter Look-up'!$J:$J,0))</f>
        <v>#N/A</v>
      </c>
      <c r="X2261" s="170">
        <f t="shared" ca="1" si="178"/>
        <v>0</v>
      </c>
      <c r="AB2261" s="313" t="str">
        <f t="shared" si="180"/>
        <v/>
      </c>
      <c r="AC2261" s="170" t="str">
        <f t="shared" si="181"/>
        <v/>
      </c>
      <c r="AD2261" s="170" t="str">
        <f t="shared" si="182"/>
        <v/>
      </c>
    </row>
    <row r="2262" spans="1:30" s="170" customFormat="1" ht="20.399999999999999">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79"/>
        <v/>
      </c>
      <c r="T2262" s="155" t="str">
        <f ca="1">IF(B2262="","",IF(ISERROR(MATCH($J2262,SorP!$B$1:$B$6226,0)),"",INDIRECT("'SorP'!$A$"&amp;MATCH($S2262&amp;$J2262,SorP!C:C,0))))</f>
        <v/>
      </c>
      <c r="U2262" s="168"/>
      <c r="V2262" s="169" t="e">
        <f>IF(C2262="",NA(),MATCH($B2262&amp;$C2262,'Smelter Look-up'!$J:$J,0))</f>
        <v>#N/A</v>
      </c>
      <c r="X2262" s="170">
        <f t="shared" ca="1" si="178"/>
        <v>0</v>
      </c>
      <c r="AB2262" s="313" t="str">
        <f t="shared" si="180"/>
        <v/>
      </c>
      <c r="AC2262" s="170" t="str">
        <f t="shared" si="181"/>
        <v/>
      </c>
      <c r="AD2262" s="170" t="str">
        <f t="shared" si="182"/>
        <v/>
      </c>
    </row>
    <row r="2263" spans="1:30" s="170" customFormat="1" ht="20.399999999999999">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79"/>
        <v/>
      </c>
      <c r="T2263" s="155" t="str">
        <f ca="1">IF(B2263="","",IF(ISERROR(MATCH($J2263,SorP!$B$1:$B$6226,0)),"",INDIRECT("'SorP'!$A$"&amp;MATCH($S2263&amp;$J2263,SorP!C:C,0))))</f>
        <v/>
      </c>
      <c r="U2263" s="168"/>
      <c r="V2263" s="169" t="e">
        <f>IF(C2263="",NA(),MATCH($B2263&amp;$C2263,'Smelter Look-up'!$J:$J,0))</f>
        <v>#N/A</v>
      </c>
      <c r="X2263" s="170">
        <f t="shared" ca="1" si="178"/>
        <v>0</v>
      </c>
      <c r="AB2263" s="313" t="str">
        <f t="shared" si="180"/>
        <v/>
      </c>
      <c r="AC2263" s="170" t="str">
        <f t="shared" si="181"/>
        <v/>
      </c>
      <c r="AD2263" s="170" t="str">
        <f t="shared" si="182"/>
        <v/>
      </c>
    </row>
    <row r="2264" spans="1:30" s="170" customFormat="1" ht="20.399999999999999">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79"/>
        <v/>
      </c>
      <c r="T2264" s="155" t="str">
        <f ca="1">IF(B2264="","",IF(ISERROR(MATCH($J2264,SorP!$B$1:$B$6226,0)),"",INDIRECT("'SorP'!$A$"&amp;MATCH($S2264&amp;$J2264,SorP!C:C,0))))</f>
        <v/>
      </c>
      <c r="U2264" s="168"/>
      <c r="V2264" s="169" t="e">
        <f>IF(C2264="",NA(),MATCH($B2264&amp;$C2264,'Smelter Look-up'!$J:$J,0))</f>
        <v>#N/A</v>
      </c>
      <c r="X2264" s="170">
        <f t="shared" ca="1" si="178"/>
        <v>0</v>
      </c>
      <c r="AB2264" s="313" t="str">
        <f t="shared" si="180"/>
        <v/>
      </c>
      <c r="AC2264" s="170" t="str">
        <f t="shared" si="181"/>
        <v/>
      </c>
      <c r="AD2264" s="170" t="str">
        <f t="shared" si="182"/>
        <v/>
      </c>
    </row>
    <row r="2265" spans="1:30" s="170" customFormat="1" ht="20.399999999999999">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79"/>
        <v/>
      </c>
      <c r="T2265" s="155" t="str">
        <f ca="1">IF(B2265="","",IF(ISERROR(MATCH($J2265,SorP!$B$1:$B$6226,0)),"",INDIRECT("'SorP'!$A$"&amp;MATCH($S2265&amp;$J2265,SorP!C:C,0))))</f>
        <v/>
      </c>
      <c r="U2265" s="168"/>
      <c r="V2265" s="169" t="e">
        <f>IF(C2265="",NA(),MATCH($B2265&amp;$C2265,'Smelter Look-up'!$J:$J,0))</f>
        <v>#N/A</v>
      </c>
      <c r="X2265" s="170">
        <f t="shared" ca="1" si="178"/>
        <v>0</v>
      </c>
      <c r="AB2265" s="313" t="str">
        <f t="shared" si="180"/>
        <v/>
      </c>
      <c r="AC2265" s="170" t="str">
        <f t="shared" si="181"/>
        <v/>
      </c>
      <c r="AD2265" s="170" t="str">
        <f t="shared" si="182"/>
        <v/>
      </c>
    </row>
    <row r="2266" spans="1:30" s="170" customFormat="1" ht="20.399999999999999">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79"/>
        <v/>
      </c>
      <c r="T2266" s="155" t="str">
        <f ca="1">IF(B2266="","",IF(ISERROR(MATCH($J2266,SorP!$B$1:$B$6226,0)),"",INDIRECT("'SorP'!$A$"&amp;MATCH($S2266&amp;$J2266,SorP!C:C,0))))</f>
        <v/>
      </c>
      <c r="U2266" s="168"/>
      <c r="V2266" s="169" t="e">
        <f>IF(C2266="",NA(),MATCH($B2266&amp;$C2266,'Smelter Look-up'!$J:$J,0))</f>
        <v>#N/A</v>
      </c>
      <c r="X2266" s="170">
        <f t="shared" ca="1" si="178"/>
        <v>0</v>
      </c>
      <c r="AB2266" s="313" t="str">
        <f t="shared" si="180"/>
        <v/>
      </c>
      <c r="AC2266" s="170" t="str">
        <f t="shared" si="181"/>
        <v/>
      </c>
      <c r="AD2266" s="170" t="str">
        <f t="shared" si="182"/>
        <v/>
      </c>
    </row>
    <row r="2267" spans="1:30" s="170" customFormat="1" ht="20.399999999999999">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79"/>
        <v/>
      </c>
      <c r="T2267" s="155" t="str">
        <f ca="1">IF(B2267="","",IF(ISERROR(MATCH($J2267,SorP!$B$1:$B$6226,0)),"",INDIRECT("'SorP'!$A$"&amp;MATCH($S2267&amp;$J2267,SorP!C:C,0))))</f>
        <v/>
      </c>
      <c r="U2267" s="168"/>
      <c r="V2267" s="169" t="e">
        <f>IF(C2267="",NA(),MATCH($B2267&amp;$C2267,'Smelter Look-up'!$J:$J,0))</f>
        <v>#N/A</v>
      </c>
      <c r="X2267" s="170">
        <f t="shared" ca="1" si="178"/>
        <v>0</v>
      </c>
      <c r="AB2267" s="313" t="str">
        <f t="shared" si="180"/>
        <v/>
      </c>
      <c r="AC2267" s="170" t="str">
        <f t="shared" si="181"/>
        <v/>
      </c>
      <c r="AD2267" s="170" t="str">
        <f t="shared" si="182"/>
        <v/>
      </c>
    </row>
    <row r="2268" spans="1:30" s="170" customFormat="1" ht="20.399999999999999">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79"/>
        <v/>
      </c>
      <c r="T2268" s="155" t="str">
        <f ca="1">IF(B2268="","",IF(ISERROR(MATCH($J2268,SorP!$B$1:$B$6226,0)),"",INDIRECT("'SorP'!$A$"&amp;MATCH($S2268&amp;$J2268,SorP!C:C,0))))</f>
        <v/>
      </c>
      <c r="U2268" s="168"/>
      <c r="V2268" s="169" t="e">
        <f>IF(C2268="",NA(),MATCH($B2268&amp;$C2268,'Smelter Look-up'!$J:$J,0))</f>
        <v>#N/A</v>
      </c>
      <c r="X2268" s="170">
        <f t="shared" ca="1" si="178"/>
        <v>0</v>
      </c>
      <c r="AB2268" s="313" t="str">
        <f t="shared" si="180"/>
        <v/>
      </c>
      <c r="AC2268" s="170" t="str">
        <f t="shared" si="181"/>
        <v/>
      </c>
      <c r="AD2268" s="170" t="str">
        <f t="shared" si="182"/>
        <v/>
      </c>
    </row>
    <row r="2269" spans="1:30" s="170" customFormat="1" ht="20.399999999999999">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79"/>
        <v/>
      </c>
      <c r="T2269" s="155" t="str">
        <f ca="1">IF(B2269="","",IF(ISERROR(MATCH($J2269,SorP!$B$1:$B$6226,0)),"",INDIRECT("'SorP'!$A$"&amp;MATCH($S2269&amp;$J2269,SorP!C:C,0))))</f>
        <v/>
      </c>
      <c r="U2269" s="168"/>
      <c r="V2269" s="169" t="e">
        <f>IF(C2269="",NA(),MATCH($B2269&amp;$C2269,'Smelter Look-up'!$J:$J,0))</f>
        <v>#N/A</v>
      </c>
      <c r="X2269" s="170">
        <f t="shared" ca="1" si="178"/>
        <v>0</v>
      </c>
      <c r="AB2269" s="313" t="str">
        <f t="shared" si="180"/>
        <v/>
      </c>
      <c r="AC2269" s="170" t="str">
        <f t="shared" si="181"/>
        <v/>
      </c>
      <c r="AD2269" s="170" t="str">
        <f t="shared" si="182"/>
        <v/>
      </c>
    </row>
    <row r="2270" spans="1:30" s="170" customFormat="1" ht="20.399999999999999">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79"/>
        <v/>
      </c>
      <c r="T2270" s="155" t="str">
        <f ca="1">IF(B2270="","",IF(ISERROR(MATCH($J2270,SorP!$B$1:$B$6226,0)),"",INDIRECT("'SorP'!$A$"&amp;MATCH($S2270&amp;$J2270,SorP!C:C,0))))</f>
        <v/>
      </c>
      <c r="U2270" s="168"/>
      <c r="V2270" s="169" t="e">
        <f>IF(C2270="",NA(),MATCH($B2270&amp;$C2270,'Smelter Look-up'!$J:$J,0))</f>
        <v>#N/A</v>
      </c>
      <c r="X2270" s="170">
        <f t="shared" ca="1" si="178"/>
        <v>0</v>
      </c>
      <c r="AB2270" s="313" t="str">
        <f t="shared" si="180"/>
        <v/>
      </c>
      <c r="AC2270" s="170" t="str">
        <f t="shared" si="181"/>
        <v/>
      </c>
      <c r="AD2270" s="170" t="str">
        <f t="shared" si="182"/>
        <v/>
      </c>
    </row>
    <row r="2271" spans="1:30" s="170" customFormat="1" ht="20.399999999999999">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79"/>
        <v/>
      </c>
      <c r="T2271" s="155" t="str">
        <f ca="1">IF(B2271="","",IF(ISERROR(MATCH($J2271,SorP!$B$1:$B$6226,0)),"",INDIRECT("'SorP'!$A$"&amp;MATCH($S2271&amp;$J2271,SorP!C:C,0))))</f>
        <v/>
      </c>
      <c r="U2271" s="168"/>
      <c r="V2271" s="169" t="e">
        <f>IF(C2271="",NA(),MATCH($B2271&amp;$C2271,'Smelter Look-up'!$J:$J,0))</f>
        <v>#N/A</v>
      </c>
      <c r="X2271" s="170">
        <f t="shared" ca="1" si="178"/>
        <v>0</v>
      </c>
      <c r="AB2271" s="313" t="str">
        <f t="shared" si="180"/>
        <v/>
      </c>
      <c r="AC2271" s="170" t="str">
        <f t="shared" si="181"/>
        <v/>
      </c>
      <c r="AD2271" s="170" t="str">
        <f t="shared" si="182"/>
        <v/>
      </c>
    </row>
    <row r="2272" spans="1:30" s="170" customFormat="1" ht="20.399999999999999">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79"/>
        <v/>
      </c>
      <c r="T2272" s="155" t="str">
        <f ca="1">IF(B2272="","",IF(ISERROR(MATCH($J2272,SorP!$B$1:$B$6226,0)),"",INDIRECT("'SorP'!$A$"&amp;MATCH($S2272&amp;$J2272,SorP!C:C,0))))</f>
        <v/>
      </c>
      <c r="U2272" s="168"/>
      <c r="V2272" s="169" t="e">
        <f>IF(C2272="",NA(),MATCH($B2272&amp;$C2272,'Smelter Look-up'!$J:$J,0))</f>
        <v>#N/A</v>
      </c>
      <c r="X2272" s="170">
        <f t="shared" ca="1" si="178"/>
        <v>0</v>
      </c>
      <c r="AB2272" s="313" t="str">
        <f t="shared" si="180"/>
        <v/>
      </c>
      <c r="AC2272" s="170" t="str">
        <f t="shared" si="181"/>
        <v/>
      </c>
      <c r="AD2272" s="170" t="str">
        <f t="shared" si="182"/>
        <v/>
      </c>
    </row>
    <row r="2273" spans="1:30" s="170" customFormat="1" ht="20.399999999999999">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79"/>
        <v/>
      </c>
      <c r="T2273" s="155" t="str">
        <f ca="1">IF(B2273="","",IF(ISERROR(MATCH($J2273,SorP!$B$1:$B$6226,0)),"",INDIRECT("'SorP'!$A$"&amp;MATCH($S2273&amp;$J2273,SorP!C:C,0))))</f>
        <v/>
      </c>
      <c r="U2273" s="168"/>
      <c r="V2273" s="169" t="e">
        <f>IF(C2273="",NA(),MATCH($B2273&amp;$C2273,'Smelter Look-up'!$J:$J,0))</f>
        <v>#N/A</v>
      </c>
      <c r="X2273" s="170">
        <f t="shared" ca="1" si="178"/>
        <v>0</v>
      </c>
      <c r="AB2273" s="313" t="str">
        <f t="shared" si="180"/>
        <v/>
      </c>
      <c r="AC2273" s="170" t="str">
        <f t="shared" si="181"/>
        <v/>
      </c>
      <c r="AD2273" s="170" t="str">
        <f t="shared" si="182"/>
        <v/>
      </c>
    </row>
    <row r="2274" spans="1:30" s="170" customFormat="1" ht="20.399999999999999">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79"/>
        <v/>
      </c>
      <c r="T2274" s="155" t="str">
        <f ca="1">IF(B2274="","",IF(ISERROR(MATCH($J2274,SorP!$B$1:$B$6226,0)),"",INDIRECT("'SorP'!$A$"&amp;MATCH($S2274&amp;$J2274,SorP!C:C,0))))</f>
        <v/>
      </c>
      <c r="U2274" s="168"/>
      <c r="V2274" s="169" t="e">
        <f>IF(C2274="",NA(),MATCH($B2274&amp;$C2274,'Smelter Look-up'!$J:$J,0))</f>
        <v>#N/A</v>
      </c>
      <c r="X2274" s="170">
        <f t="shared" ca="1" si="178"/>
        <v>0</v>
      </c>
      <c r="AB2274" s="313" t="str">
        <f t="shared" si="180"/>
        <v/>
      </c>
      <c r="AC2274" s="170" t="str">
        <f t="shared" si="181"/>
        <v/>
      </c>
      <c r="AD2274" s="170" t="str">
        <f t="shared" si="182"/>
        <v/>
      </c>
    </row>
    <row r="2275" spans="1:30" s="170" customFormat="1" ht="20.399999999999999">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79"/>
        <v/>
      </c>
      <c r="T2275" s="155" t="str">
        <f ca="1">IF(B2275="","",IF(ISERROR(MATCH($J2275,SorP!$B$1:$B$6226,0)),"",INDIRECT("'SorP'!$A$"&amp;MATCH($S2275&amp;$J2275,SorP!C:C,0))))</f>
        <v/>
      </c>
      <c r="U2275" s="168"/>
      <c r="V2275" s="169" t="e">
        <f>IF(C2275="",NA(),MATCH($B2275&amp;$C2275,'Smelter Look-up'!$J:$J,0))</f>
        <v>#N/A</v>
      </c>
      <c r="X2275" s="170">
        <f t="shared" ca="1" si="178"/>
        <v>0</v>
      </c>
      <c r="AB2275" s="313" t="str">
        <f t="shared" si="180"/>
        <v/>
      </c>
      <c r="AC2275" s="170" t="str">
        <f t="shared" si="181"/>
        <v/>
      </c>
      <c r="AD2275" s="170" t="str">
        <f t="shared" si="182"/>
        <v/>
      </c>
    </row>
    <row r="2276" spans="1:30" s="170" customFormat="1" ht="20.399999999999999">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79"/>
        <v/>
      </c>
      <c r="T2276" s="155" t="str">
        <f ca="1">IF(B2276="","",IF(ISERROR(MATCH($J2276,SorP!$B$1:$B$6226,0)),"",INDIRECT("'SorP'!$A$"&amp;MATCH($S2276&amp;$J2276,SorP!C:C,0))))</f>
        <v/>
      </c>
      <c r="U2276" s="168"/>
      <c r="V2276" s="169" t="e">
        <f>IF(C2276="",NA(),MATCH($B2276&amp;$C2276,'Smelter Look-up'!$J:$J,0))</f>
        <v>#N/A</v>
      </c>
      <c r="X2276" s="170">
        <f t="shared" ca="1" si="178"/>
        <v>0</v>
      </c>
      <c r="AB2276" s="313" t="str">
        <f t="shared" si="180"/>
        <v/>
      </c>
      <c r="AC2276" s="170" t="str">
        <f t="shared" si="181"/>
        <v/>
      </c>
      <c r="AD2276" s="170" t="str">
        <f t="shared" si="182"/>
        <v/>
      </c>
    </row>
    <row r="2277" spans="1:30" s="170" customFormat="1" ht="20.399999999999999">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79"/>
        <v/>
      </c>
      <c r="T2277" s="155" t="str">
        <f ca="1">IF(B2277="","",IF(ISERROR(MATCH($J2277,SorP!$B$1:$B$6226,0)),"",INDIRECT("'SorP'!$A$"&amp;MATCH($S2277&amp;$J2277,SorP!C:C,0))))</f>
        <v/>
      </c>
      <c r="U2277" s="168"/>
      <c r="V2277" s="169" t="e">
        <f>IF(C2277="",NA(),MATCH($B2277&amp;$C2277,'Smelter Look-up'!$J:$J,0))</f>
        <v>#N/A</v>
      </c>
      <c r="X2277" s="170">
        <f t="shared" ca="1" si="178"/>
        <v>0</v>
      </c>
      <c r="AB2277" s="313" t="str">
        <f t="shared" si="180"/>
        <v/>
      </c>
      <c r="AC2277" s="170" t="str">
        <f t="shared" si="181"/>
        <v/>
      </c>
      <c r="AD2277" s="170" t="str">
        <f t="shared" si="182"/>
        <v/>
      </c>
    </row>
    <row r="2278" spans="1:30" s="170" customFormat="1" ht="20.399999999999999">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79"/>
        <v/>
      </c>
      <c r="T2278" s="155" t="str">
        <f ca="1">IF(B2278="","",IF(ISERROR(MATCH($J2278,SorP!$B$1:$B$6226,0)),"",INDIRECT("'SorP'!$A$"&amp;MATCH($S2278&amp;$J2278,SorP!C:C,0))))</f>
        <v/>
      </c>
      <c r="U2278" s="168"/>
      <c r="V2278" s="169" t="e">
        <f>IF(C2278="",NA(),MATCH($B2278&amp;$C2278,'Smelter Look-up'!$J:$J,0))</f>
        <v>#N/A</v>
      </c>
      <c r="X2278" s="170">
        <f t="shared" ca="1" si="178"/>
        <v>0</v>
      </c>
      <c r="AB2278" s="313" t="str">
        <f t="shared" si="180"/>
        <v/>
      </c>
      <c r="AC2278" s="170" t="str">
        <f t="shared" si="181"/>
        <v/>
      </c>
      <c r="AD2278" s="170" t="str">
        <f t="shared" si="182"/>
        <v/>
      </c>
    </row>
    <row r="2279" spans="1:30" s="170" customFormat="1" ht="20.399999999999999">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79"/>
        <v/>
      </c>
      <c r="T2279" s="155" t="str">
        <f ca="1">IF(B2279="","",IF(ISERROR(MATCH($J2279,SorP!$B$1:$B$6226,0)),"",INDIRECT("'SorP'!$A$"&amp;MATCH($S2279&amp;$J2279,SorP!C:C,0))))</f>
        <v/>
      </c>
      <c r="U2279" s="168"/>
      <c r="V2279" s="169" t="e">
        <f>IF(C2279="",NA(),MATCH($B2279&amp;$C2279,'Smelter Look-up'!$J:$J,0))</f>
        <v>#N/A</v>
      </c>
      <c r="X2279" s="170">
        <f t="shared" ca="1" si="178"/>
        <v>0</v>
      </c>
      <c r="AB2279" s="313" t="str">
        <f t="shared" si="180"/>
        <v/>
      </c>
      <c r="AC2279" s="170" t="str">
        <f t="shared" si="181"/>
        <v/>
      </c>
      <c r="AD2279" s="170" t="str">
        <f t="shared" si="182"/>
        <v/>
      </c>
    </row>
    <row r="2280" spans="1:30" s="170" customFormat="1" ht="20.399999999999999">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79"/>
        <v/>
      </c>
      <c r="T2280" s="155" t="str">
        <f ca="1">IF(B2280="","",IF(ISERROR(MATCH($J2280,SorP!$B$1:$B$6226,0)),"",INDIRECT("'SorP'!$A$"&amp;MATCH($S2280&amp;$J2280,SorP!C:C,0))))</f>
        <v/>
      </c>
      <c r="U2280" s="168"/>
      <c r="V2280" s="169" t="e">
        <f>IF(C2280="",NA(),MATCH($B2280&amp;$C2280,'Smelter Look-up'!$J:$J,0))</f>
        <v>#N/A</v>
      </c>
      <c r="X2280" s="170">
        <f t="shared" ca="1" si="178"/>
        <v>0</v>
      </c>
      <c r="AB2280" s="313" t="str">
        <f t="shared" si="180"/>
        <v/>
      </c>
      <c r="AC2280" s="170" t="str">
        <f t="shared" si="181"/>
        <v/>
      </c>
      <c r="AD2280" s="170" t="str">
        <f t="shared" si="182"/>
        <v/>
      </c>
    </row>
    <row r="2281" spans="1:30" s="170" customFormat="1" ht="20.399999999999999">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79"/>
        <v/>
      </c>
      <c r="T2281" s="155" t="str">
        <f ca="1">IF(B2281="","",IF(ISERROR(MATCH($J2281,SorP!$B$1:$B$6226,0)),"",INDIRECT("'SorP'!$A$"&amp;MATCH($S2281&amp;$J2281,SorP!C:C,0))))</f>
        <v/>
      </c>
      <c r="U2281" s="168"/>
      <c r="V2281" s="169" t="e">
        <f>IF(C2281="",NA(),MATCH($B2281&amp;$C2281,'Smelter Look-up'!$J:$J,0))</f>
        <v>#N/A</v>
      </c>
      <c r="X2281" s="170">
        <f t="shared" ca="1" si="178"/>
        <v>0</v>
      </c>
      <c r="AB2281" s="313" t="str">
        <f t="shared" si="180"/>
        <v/>
      </c>
      <c r="AC2281" s="170" t="str">
        <f t="shared" si="181"/>
        <v/>
      </c>
      <c r="AD2281" s="170" t="str">
        <f t="shared" si="182"/>
        <v/>
      </c>
    </row>
    <row r="2282" spans="1:30" s="170" customFormat="1" ht="20.399999999999999">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79"/>
        <v/>
      </c>
      <c r="T2282" s="155" t="str">
        <f ca="1">IF(B2282="","",IF(ISERROR(MATCH($J2282,SorP!$B$1:$B$6226,0)),"",INDIRECT("'SorP'!$A$"&amp;MATCH($S2282&amp;$J2282,SorP!C:C,0))))</f>
        <v/>
      </c>
      <c r="U2282" s="168"/>
      <c r="V2282" s="169" t="e">
        <f>IF(C2282="",NA(),MATCH($B2282&amp;$C2282,'Smelter Look-up'!$J:$J,0))</f>
        <v>#N/A</v>
      </c>
      <c r="X2282" s="170">
        <f t="shared" ca="1" si="178"/>
        <v>0</v>
      </c>
      <c r="AB2282" s="313" t="str">
        <f t="shared" si="180"/>
        <v/>
      </c>
      <c r="AC2282" s="170" t="str">
        <f t="shared" si="181"/>
        <v/>
      </c>
      <c r="AD2282" s="170" t="str">
        <f t="shared" si="182"/>
        <v/>
      </c>
    </row>
    <row r="2283" spans="1:30" s="170" customFormat="1" ht="20.399999999999999">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79"/>
        <v/>
      </c>
      <c r="T2283" s="155" t="str">
        <f ca="1">IF(B2283="","",IF(ISERROR(MATCH($J2283,SorP!$B$1:$B$6226,0)),"",INDIRECT("'SorP'!$A$"&amp;MATCH($S2283&amp;$J2283,SorP!C:C,0))))</f>
        <v/>
      </c>
      <c r="U2283" s="168"/>
      <c r="V2283" s="169" t="e">
        <f>IF(C2283="",NA(),MATCH($B2283&amp;$C2283,'Smelter Look-up'!$J:$J,0))</f>
        <v>#N/A</v>
      </c>
      <c r="X2283" s="170">
        <f t="shared" ca="1" si="178"/>
        <v>0</v>
      </c>
      <c r="AB2283" s="313" t="str">
        <f t="shared" si="180"/>
        <v/>
      </c>
      <c r="AC2283" s="170" t="str">
        <f t="shared" si="181"/>
        <v/>
      </c>
      <c r="AD2283" s="170" t="str">
        <f t="shared" si="182"/>
        <v/>
      </c>
    </row>
    <row r="2284" spans="1:30" s="170" customFormat="1" ht="20.399999999999999">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79"/>
        <v/>
      </c>
      <c r="T2284" s="155" t="str">
        <f ca="1">IF(B2284="","",IF(ISERROR(MATCH($J2284,SorP!$B$1:$B$6226,0)),"",INDIRECT("'SorP'!$A$"&amp;MATCH($S2284&amp;$J2284,SorP!C:C,0))))</f>
        <v/>
      </c>
      <c r="U2284" s="168"/>
      <c r="V2284" s="169" t="e">
        <f>IF(C2284="",NA(),MATCH($B2284&amp;$C2284,'Smelter Look-up'!$J:$J,0))</f>
        <v>#N/A</v>
      </c>
      <c r="X2284" s="170">
        <f t="shared" ca="1" si="178"/>
        <v>0</v>
      </c>
      <c r="AB2284" s="313" t="str">
        <f t="shared" si="180"/>
        <v/>
      </c>
      <c r="AC2284" s="170" t="str">
        <f t="shared" si="181"/>
        <v/>
      </c>
      <c r="AD2284" s="170" t="str">
        <f t="shared" si="182"/>
        <v/>
      </c>
    </row>
    <row r="2285" spans="1:30" s="170" customFormat="1" ht="20.399999999999999">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79"/>
        <v/>
      </c>
      <c r="T2285" s="155" t="str">
        <f ca="1">IF(B2285="","",IF(ISERROR(MATCH($J2285,SorP!$B$1:$B$6226,0)),"",INDIRECT("'SorP'!$A$"&amp;MATCH($S2285&amp;$J2285,SorP!C:C,0))))</f>
        <v/>
      </c>
      <c r="U2285" s="168"/>
      <c r="V2285" s="169" t="e">
        <f>IF(C2285="",NA(),MATCH($B2285&amp;$C2285,'Smelter Look-up'!$J:$J,0))</f>
        <v>#N/A</v>
      </c>
      <c r="X2285" s="170">
        <f t="shared" ca="1" si="178"/>
        <v>0</v>
      </c>
      <c r="AB2285" s="313" t="str">
        <f t="shared" si="180"/>
        <v/>
      </c>
      <c r="AC2285" s="170" t="str">
        <f t="shared" si="181"/>
        <v/>
      </c>
      <c r="AD2285" s="170" t="str">
        <f t="shared" si="182"/>
        <v/>
      </c>
    </row>
    <row r="2286" spans="1:30" s="170" customFormat="1" ht="20.399999999999999">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79"/>
        <v/>
      </c>
      <c r="T2286" s="155" t="str">
        <f ca="1">IF(B2286="","",IF(ISERROR(MATCH($J2286,SorP!$B$1:$B$6226,0)),"",INDIRECT("'SorP'!$A$"&amp;MATCH($S2286&amp;$J2286,SorP!C:C,0))))</f>
        <v/>
      </c>
      <c r="U2286" s="168"/>
      <c r="V2286" s="169" t="e">
        <f>IF(C2286="",NA(),MATCH($B2286&amp;$C2286,'Smelter Look-up'!$J:$J,0))</f>
        <v>#N/A</v>
      </c>
      <c r="X2286" s="170">
        <f t="shared" ca="1" si="178"/>
        <v>0</v>
      </c>
      <c r="AB2286" s="313" t="str">
        <f t="shared" si="180"/>
        <v/>
      </c>
      <c r="AC2286" s="170" t="str">
        <f t="shared" si="181"/>
        <v/>
      </c>
      <c r="AD2286" s="170" t="str">
        <f t="shared" si="182"/>
        <v/>
      </c>
    </row>
    <row r="2287" spans="1:30" s="170" customFormat="1" ht="20.399999999999999">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79"/>
        <v/>
      </c>
      <c r="T2287" s="155" t="str">
        <f ca="1">IF(B2287="","",IF(ISERROR(MATCH($J2287,SorP!$B$1:$B$6226,0)),"",INDIRECT("'SorP'!$A$"&amp;MATCH($S2287&amp;$J2287,SorP!C:C,0))))</f>
        <v/>
      </c>
      <c r="U2287" s="168"/>
      <c r="V2287" s="169" t="e">
        <f>IF(C2287="",NA(),MATCH($B2287&amp;$C2287,'Smelter Look-up'!$J:$J,0))</f>
        <v>#N/A</v>
      </c>
      <c r="X2287" s="170">
        <f t="shared" ca="1" si="178"/>
        <v>0</v>
      </c>
      <c r="AB2287" s="313" t="str">
        <f t="shared" si="180"/>
        <v/>
      </c>
      <c r="AC2287" s="170" t="str">
        <f t="shared" si="181"/>
        <v/>
      </c>
      <c r="AD2287" s="170" t="str">
        <f t="shared" si="182"/>
        <v/>
      </c>
    </row>
    <row r="2288" spans="1:30" s="170" customFormat="1" ht="20.399999999999999">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79"/>
        <v/>
      </c>
      <c r="T2288" s="155" t="str">
        <f ca="1">IF(B2288="","",IF(ISERROR(MATCH($J2288,SorP!$B$1:$B$6226,0)),"",INDIRECT("'SorP'!$A$"&amp;MATCH($S2288&amp;$J2288,SorP!C:C,0))))</f>
        <v/>
      </c>
      <c r="U2288" s="168"/>
      <c r="V2288" s="169" t="e">
        <f>IF(C2288="",NA(),MATCH($B2288&amp;$C2288,'Smelter Look-up'!$J:$J,0))</f>
        <v>#N/A</v>
      </c>
      <c r="X2288" s="170">
        <f t="shared" ca="1" si="178"/>
        <v>0</v>
      </c>
      <c r="AB2288" s="313" t="str">
        <f t="shared" si="180"/>
        <v/>
      </c>
      <c r="AC2288" s="170" t="str">
        <f t="shared" si="181"/>
        <v/>
      </c>
      <c r="AD2288" s="170" t="str">
        <f t="shared" si="182"/>
        <v/>
      </c>
    </row>
    <row r="2289" spans="1:30" s="170" customFormat="1" ht="20.399999999999999">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79"/>
        <v/>
      </c>
      <c r="T2289" s="155" t="str">
        <f ca="1">IF(B2289="","",IF(ISERROR(MATCH($J2289,SorP!$B$1:$B$6226,0)),"",INDIRECT("'SorP'!$A$"&amp;MATCH($S2289&amp;$J2289,SorP!C:C,0))))</f>
        <v/>
      </c>
      <c r="U2289" s="168"/>
      <c r="V2289" s="169" t="e">
        <f>IF(C2289="",NA(),MATCH($B2289&amp;$C2289,'Smelter Look-up'!$J:$J,0))</f>
        <v>#N/A</v>
      </c>
      <c r="X2289" s="170">
        <f t="shared" ca="1" si="178"/>
        <v>0</v>
      </c>
      <c r="AB2289" s="313" t="str">
        <f t="shared" si="180"/>
        <v/>
      </c>
      <c r="AC2289" s="170" t="str">
        <f t="shared" si="181"/>
        <v/>
      </c>
      <c r="AD2289" s="170" t="str">
        <f t="shared" si="182"/>
        <v/>
      </c>
    </row>
    <row r="2290" spans="1:30" s="170" customFormat="1" ht="20.399999999999999">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79"/>
        <v/>
      </c>
      <c r="T2290" s="155" t="str">
        <f ca="1">IF(B2290="","",IF(ISERROR(MATCH($J2290,SorP!$B$1:$B$6226,0)),"",INDIRECT("'SorP'!$A$"&amp;MATCH($S2290&amp;$J2290,SorP!C:C,0))))</f>
        <v/>
      </c>
      <c r="U2290" s="168"/>
      <c r="V2290" s="169" t="e">
        <f>IF(C2290="",NA(),MATCH($B2290&amp;$C2290,'Smelter Look-up'!$J:$J,0))</f>
        <v>#N/A</v>
      </c>
      <c r="X2290" s="170">
        <f t="shared" ca="1" si="178"/>
        <v>0</v>
      </c>
      <c r="AB2290" s="313" t="str">
        <f t="shared" si="180"/>
        <v/>
      </c>
      <c r="AC2290" s="170" t="str">
        <f t="shared" si="181"/>
        <v/>
      </c>
      <c r="AD2290" s="170" t="str">
        <f t="shared" si="182"/>
        <v/>
      </c>
    </row>
    <row r="2291" spans="1:30" s="170" customFormat="1" ht="20.399999999999999">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79"/>
        <v/>
      </c>
      <c r="T2291" s="155" t="str">
        <f ca="1">IF(B2291="","",IF(ISERROR(MATCH($J2291,SorP!$B$1:$B$6226,0)),"",INDIRECT("'SorP'!$A$"&amp;MATCH($S2291&amp;$J2291,SorP!C:C,0))))</f>
        <v/>
      </c>
      <c r="U2291" s="168"/>
      <c r="V2291" s="169" t="e">
        <f>IF(C2291="",NA(),MATCH($B2291&amp;$C2291,'Smelter Look-up'!$J:$J,0))</f>
        <v>#N/A</v>
      </c>
      <c r="X2291" s="170">
        <f t="shared" ca="1" si="178"/>
        <v>0</v>
      </c>
      <c r="AB2291" s="313" t="str">
        <f t="shared" si="180"/>
        <v/>
      </c>
      <c r="AC2291" s="170" t="str">
        <f t="shared" si="181"/>
        <v/>
      </c>
      <c r="AD2291" s="170" t="str">
        <f t="shared" si="182"/>
        <v/>
      </c>
    </row>
    <row r="2292" spans="1:30" s="170" customFormat="1" ht="20.399999999999999">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79"/>
        <v/>
      </c>
      <c r="T2292" s="155" t="str">
        <f ca="1">IF(B2292="","",IF(ISERROR(MATCH($J2292,SorP!$B$1:$B$6226,0)),"",INDIRECT("'SorP'!$A$"&amp;MATCH($S2292&amp;$J2292,SorP!C:C,0))))</f>
        <v/>
      </c>
      <c r="U2292" s="168"/>
      <c r="V2292" s="169" t="e">
        <f>IF(C2292="",NA(),MATCH($B2292&amp;$C2292,'Smelter Look-up'!$J:$J,0))</f>
        <v>#N/A</v>
      </c>
      <c r="X2292" s="170">
        <f t="shared" ca="1" si="178"/>
        <v>0</v>
      </c>
      <c r="AB2292" s="313" t="str">
        <f t="shared" si="180"/>
        <v/>
      </c>
      <c r="AC2292" s="170" t="str">
        <f t="shared" si="181"/>
        <v/>
      </c>
      <c r="AD2292" s="170" t="str">
        <f t="shared" si="182"/>
        <v/>
      </c>
    </row>
    <row r="2293" spans="1:30" s="170" customFormat="1" ht="20.399999999999999">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79"/>
        <v/>
      </c>
      <c r="T2293" s="155" t="str">
        <f ca="1">IF(B2293="","",IF(ISERROR(MATCH($J2293,SorP!$B$1:$B$6226,0)),"",INDIRECT("'SorP'!$A$"&amp;MATCH($S2293&amp;$J2293,SorP!C:C,0))))</f>
        <v/>
      </c>
      <c r="U2293" s="168"/>
      <c r="V2293" s="169" t="e">
        <f>IF(C2293="",NA(),MATCH($B2293&amp;$C2293,'Smelter Look-up'!$J:$J,0))</f>
        <v>#N/A</v>
      </c>
      <c r="X2293" s="170">
        <f t="shared" ca="1" si="178"/>
        <v>0</v>
      </c>
      <c r="AB2293" s="313" t="str">
        <f t="shared" si="180"/>
        <v/>
      </c>
      <c r="AC2293" s="170" t="str">
        <f t="shared" si="181"/>
        <v/>
      </c>
      <c r="AD2293" s="170" t="str">
        <f t="shared" si="182"/>
        <v/>
      </c>
    </row>
    <row r="2294" spans="1:30" s="170" customFormat="1" ht="20.399999999999999">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79"/>
        <v/>
      </c>
      <c r="T2294" s="155" t="str">
        <f ca="1">IF(B2294="","",IF(ISERROR(MATCH($J2294,SorP!$B$1:$B$6226,0)),"",INDIRECT("'SorP'!$A$"&amp;MATCH($S2294&amp;$J2294,SorP!C:C,0))))</f>
        <v/>
      </c>
      <c r="U2294" s="168"/>
      <c r="V2294" s="169" t="e">
        <f>IF(C2294="",NA(),MATCH($B2294&amp;$C2294,'Smelter Look-up'!$J:$J,0))</f>
        <v>#N/A</v>
      </c>
      <c r="X2294" s="170">
        <f t="shared" ca="1" si="178"/>
        <v>0</v>
      </c>
      <c r="AB2294" s="313" t="str">
        <f t="shared" si="180"/>
        <v/>
      </c>
      <c r="AC2294" s="170" t="str">
        <f t="shared" si="181"/>
        <v/>
      </c>
      <c r="AD2294" s="170" t="str">
        <f t="shared" si="182"/>
        <v/>
      </c>
    </row>
    <row r="2295" spans="1:30" s="170" customFormat="1" ht="20.399999999999999">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79"/>
        <v/>
      </c>
      <c r="T2295" s="155" t="str">
        <f ca="1">IF(B2295="","",IF(ISERROR(MATCH($J2295,SorP!$B$1:$B$6226,0)),"",INDIRECT("'SorP'!$A$"&amp;MATCH($S2295&amp;$J2295,SorP!C:C,0))))</f>
        <v/>
      </c>
      <c r="U2295" s="168"/>
      <c r="V2295" s="169" t="e">
        <f>IF(C2295="",NA(),MATCH($B2295&amp;$C2295,'Smelter Look-up'!$J:$J,0))</f>
        <v>#N/A</v>
      </c>
      <c r="X2295" s="170">
        <f t="shared" ca="1" si="178"/>
        <v>0</v>
      </c>
      <c r="AB2295" s="313" t="str">
        <f t="shared" si="180"/>
        <v/>
      </c>
      <c r="AC2295" s="170" t="str">
        <f t="shared" si="181"/>
        <v/>
      </c>
      <c r="AD2295" s="170" t="str">
        <f t="shared" si="182"/>
        <v/>
      </c>
    </row>
    <row r="2296" spans="1:30" s="170" customFormat="1" ht="20.399999999999999">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79"/>
        <v/>
      </c>
      <c r="T2296" s="155" t="str">
        <f ca="1">IF(B2296="","",IF(ISERROR(MATCH($J2296,SorP!$B$1:$B$6226,0)),"",INDIRECT("'SorP'!$A$"&amp;MATCH($S2296&amp;$J2296,SorP!C:C,0))))</f>
        <v/>
      </c>
      <c r="U2296" s="168"/>
      <c r="V2296" s="169" t="e">
        <f>IF(C2296="",NA(),MATCH($B2296&amp;$C2296,'Smelter Look-up'!$J:$J,0))</f>
        <v>#N/A</v>
      </c>
      <c r="X2296" s="170">
        <f t="shared" ca="1" si="178"/>
        <v>0</v>
      </c>
      <c r="AB2296" s="313" t="str">
        <f t="shared" si="180"/>
        <v/>
      </c>
      <c r="AC2296" s="170" t="str">
        <f t="shared" si="181"/>
        <v/>
      </c>
      <c r="AD2296" s="170" t="str">
        <f t="shared" si="182"/>
        <v/>
      </c>
    </row>
    <row r="2297" spans="1:30" s="170" customFormat="1" ht="20.399999999999999">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79"/>
        <v/>
      </c>
      <c r="T2297" s="155" t="str">
        <f ca="1">IF(B2297="","",IF(ISERROR(MATCH($J2297,SorP!$B$1:$B$6226,0)),"",INDIRECT("'SorP'!$A$"&amp;MATCH($S2297&amp;$J2297,SorP!C:C,0))))</f>
        <v/>
      </c>
      <c r="U2297" s="168"/>
      <c r="V2297" s="169" t="e">
        <f>IF(C2297="",NA(),MATCH($B2297&amp;$C2297,'Smelter Look-up'!$J:$J,0))</f>
        <v>#N/A</v>
      </c>
      <c r="X2297" s="170">
        <f t="shared" ca="1" si="178"/>
        <v>0</v>
      </c>
      <c r="AB2297" s="313" t="str">
        <f t="shared" si="180"/>
        <v/>
      </c>
      <c r="AC2297" s="170" t="str">
        <f t="shared" si="181"/>
        <v/>
      </c>
      <c r="AD2297" s="170" t="str">
        <f t="shared" si="182"/>
        <v/>
      </c>
    </row>
    <row r="2298" spans="1:30" s="170" customFormat="1" ht="20.399999999999999">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79"/>
        <v/>
      </c>
      <c r="T2298" s="155" t="str">
        <f ca="1">IF(B2298="","",IF(ISERROR(MATCH($J2298,SorP!$B$1:$B$6226,0)),"",INDIRECT("'SorP'!$A$"&amp;MATCH($S2298&amp;$J2298,SorP!C:C,0))))</f>
        <v/>
      </c>
      <c r="U2298" s="168"/>
      <c r="V2298" s="169" t="e">
        <f>IF(C2298="",NA(),MATCH($B2298&amp;$C2298,'Smelter Look-up'!$J:$J,0))</f>
        <v>#N/A</v>
      </c>
      <c r="X2298" s="170">
        <f t="shared" ca="1" si="178"/>
        <v>0</v>
      </c>
      <c r="AB2298" s="313" t="str">
        <f t="shared" si="180"/>
        <v/>
      </c>
      <c r="AC2298" s="170" t="str">
        <f t="shared" si="181"/>
        <v/>
      </c>
      <c r="AD2298" s="170" t="str">
        <f t="shared" si="182"/>
        <v/>
      </c>
    </row>
    <row r="2299" spans="1:30" s="170" customFormat="1" ht="20.399999999999999">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79"/>
        <v/>
      </c>
      <c r="T2299" s="155" t="str">
        <f ca="1">IF(B2299="","",IF(ISERROR(MATCH($J2299,SorP!$B$1:$B$6226,0)),"",INDIRECT("'SorP'!$A$"&amp;MATCH($S2299&amp;$J2299,SorP!C:C,0))))</f>
        <v/>
      </c>
      <c r="U2299" s="168"/>
      <c r="V2299" s="169" t="e">
        <f>IF(C2299="",NA(),MATCH($B2299&amp;$C2299,'Smelter Look-up'!$J:$J,0))</f>
        <v>#N/A</v>
      </c>
      <c r="X2299" s="170">
        <f t="shared" ca="1" si="178"/>
        <v>0</v>
      </c>
      <c r="AB2299" s="313" t="str">
        <f t="shared" si="180"/>
        <v/>
      </c>
      <c r="AC2299" s="170" t="str">
        <f t="shared" si="181"/>
        <v/>
      </c>
      <c r="AD2299" s="170" t="str">
        <f t="shared" si="182"/>
        <v/>
      </c>
    </row>
    <row r="2300" spans="1:30" s="170" customFormat="1" ht="20.399999999999999">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79"/>
        <v/>
      </c>
      <c r="T2300" s="155" t="str">
        <f ca="1">IF(B2300="","",IF(ISERROR(MATCH($J2300,SorP!$B$1:$B$6226,0)),"",INDIRECT("'SorP'!$A$"&amp;MATCH($S2300&amp;$J2300,SorP!C:C,0))))</f>
        <v/>
      </c>
      <c r="U2300" s="168"/>
      <c r="V2300" s="169" t="e">
        <f>IF(C2300="",NA(),MATCH($B2300&amp;$C2300,'Smelter Look-up'!$J:$J,0))</f>
        <v>#N/A</v>
      </c>
      <c r="X2300" s="170">
        <f t="shared" ca="1" si="178"/>
        <v>0</v>
      </c>
      <c r="AB2300" s="313" t="str">
        <f t="shared" si="180"/>
        <v/>
      </c>
      <c r="AC2300" s="170" t="str">
        <f t="shared" si="181"/>
        <v/>
      </c>
      <c r="AD2300" s="170" t="str">
        <f t="shared" si="182"/>
        <v/>
      </c>
    </row>
    <row r="2301" spans="1:30" s="170" customFormat="1" ht="20.399999999999999">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79"/>
        <v/>
      </c>
      <c r="T2301" s="155" t="str">
        <f ca="1">IF(B2301="","",IF(ISERROR(MATCH($J2301,SorP!$B$1:$B$6226,0)),"",INDIRECT("'SorP'!$A$"&amp;MATCH($S2301&amp;$J2301,SorP!C:C,0))))</f>
        <v/>
      </c>
      <c r="U2301" s="168"/>
      <c r="V2301" s="169" t="e">
        <f>IF(C2301="",NA(),MATCH($B2301&amp;$C2301,'Smelter Look-up'!$J:$J,0))</f>
        <v>#N/A</v>
      </c>
      <c r="X2301" s="170">
        <f t="shared" ca="1" si="178"/>
        <v>0</v>
      </c>
      <c r="AB2301" s="313" t="str">
        <f t="shared" si="180"/>
        <v/>
      </c>
      <c r="AC2301" s="170" t="str">
        <f t="shared" si="181"/>
        <v/>
      </c>
      <c r="AD2301" s="170" t="str">
        <f t="shared" si="182"/>
        <v/>
      </c>
    </row>
    <row r="2302" spans="1:30" s="170" customFormat="1" ht="20.399999999999999">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79"/>
        <v/>
      </c>
      <c r="T2302" s="155" t="str">
        <f ca="1">IF(B2302="","",IF(ISERROR(MATCH($J2302,SorP!$B$1:$B$6226,0)),"",INDIRECT("'SorP'!$A$"&amp;MATCH($S2302&amp;$J2302,SorP!C:C,0))))</f>
        <v/>
      </c>
      <c r="U2302" s="168"/>
      <c r="V2302" s="169" t="e">
        <f>IF(C2302="",NA(),MATCH($B2302&amp;$C2302,'Smelter Look-up'!$J:$J,0))</f>
        <v>#N/A</v>
      </c>
      <c r="X2302" s="170">
        <f t="shared" ca="1" si="178"/>
        <v>0</v>
      </c>
      <c r="AB2302" s="313" t="str">
        <f t="shared" si="180"/>
        <v/>
      </c>
      <c r="AC2302" s="170" t="str">
        <f t="shared" si="181"/>
        <v/>
      </c>
      <c r="AD2302" s="170" t="str">
        <f t="shared" si="182"/>
        <v/>
      </c>
    </row>
    <row r="2303" spans="1:30" s="170" customFormat="1" ht="20.399999999999999">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79"/>
        <v/>
      </c>
      <c r="T2303" s="155" t="str">
        <f ca="1">IF(B2303="","",IF(ISERROR(MATCH($J2303,SorP!$B$1:$B$6226,0)),"",INDIRECT("'SorP'!$A$"&amp;MATCH($S2303&amp;$J2303,SorP!C:C,0))))</f>
        <v/>
      </c>
      <c r="U2303" s="168"/>
      <c r="V2303" s="169" t="e">
        <f>IF(C2303="",NA(),MATCH($B2303&amp;$C2303,'Smelter Look-up'!$J:$J,0))</f>
        <v>#N/A</v>
      </c>
      <c r="X2303" s="170">
        <f t="shared" ref="X2303:X2366" ca="1" si="183">IF(AND(C2303="Smelter not listed",OR(LEN(D2303)=0,LEN(E2303)=0)),1,0)</f>
        <v>0</v>
      </c>
      <c r="AB2303" s="313" t="str">
        <f t="shared" si="180"/>
        <v/>
      </c>
      <c r="AC2303" s="170" t="str">
        <f t="shared" si="181"/>
        <v/>
      </c>
      <c r="AD2303" s="170" t="str">
        <f t="shared" si="182"/>
        <v/>
      </c>
    </row>
    <row r="2304" spans="1:30" s="170" customFormat="1" ht="20.399999999999999">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ref="S2304:S2367" ca="1" si="184">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83"/>
        <v>0</v>
      </c>
      <c r="AB2304" s="313" t="str">
        <f t="shared" si="180"/>
        <v/>
      </c>
      <c r="AC2304" s="170" t="str">
        <f t="shared" si="181"/>
        <v/>
      </c>
      <c r="AD2304" s="170" t="str">
        <f t="shared" si="182"/>
        <v/>
      </c>
    </row>
    <row r="2305" spans="1:30" s="170" customFormat="1" ht="20.399999999999999">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84"/>
        <v/>
      </c>
      <c r="T2305" s="155" t="str">
        <f ca="1">IF(B2305="","",IF(ISERROR(MATCH($J2305,SorP!$B$1:$B$6226,0)),"",INDIRECT("'SorP'!$A$"&amp;MATCH($S2305&amp;$J2305,SorP!C:C,0))))</f>
        <v/>
      </c>
      <c r="U2305" s="168"/>
      <c r="V2305" s="169" t="e">
        <f>IF(C2305="",NA(),MATCH($B2305&amp;$C2305,'Smelter Look-up'!$J:$J,0))</f>
        <v>#N/A</v>
      </c>
      <c r="X2305" s="170">
        <f t="shared" ca="1" si="183"/>
        <v>0</v>
      </c>
      <c r="AB2305" s="313" t="str">
        <f t="shared" si="180"/>
        <v/>
      </c>
      <c r="AC2305" s="170" t="str">
        <f t="shared" si="181"/>
        <v/>
      </c>
      <c r="AD2305" s="170" t="str">
        <f t="shared" si="182"/>
        <v/>
      </c>
    </row>
    <row r="2306" spans="1:30" s="170" customFormat="1" ht="20.399999999999999">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84"/>
        <v/>
      </c>
      <c r="T2306" s="155" t="str">
        <f ca="1">IF(B2306="","",IF(ISERROR(MATCH($J2306,SorP!$B$1:$B$6226,0)),"",INDIRECT("'SorP'!$A$"&amp;MATCH($S2306&amp;$J2306,SorP!C:C,0))))</f>
        <v/>
      </c>
      <c r="U2306" s="168"/>
      <c r="V2306" s="169" t="e">
        <f>IF(C2306="",NA(),MATCH($B2306&amp;$C2306,'Smelter Look-up'!$J:$J,0))</f>
        <v>#N/A</v>
      </c>
      <c r="X2306" s="170">
        <f t="shared" ca="1" si="183"/>
        <v>0</v>
      </c>
      <c r="AB2306" s="313" t="str">
        <f t="shared" si="180"/>
        <v/>
      </c>
      <c r="AC2306" s="170" t="str">
        <f t="shared" si="181"/>
        <v/>
      </c>
      <c r="AD2306" s="170" t="str">
        <f t="shared" si="182"/>
        <v/>
      </c>
    </row>
    <row r="2307" spans="1:30" s="170" customFormat="1" ht="20.399999999999999">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84"/>
        <v/>
      </c>
      <c r="T2307" s="155" t="str">
        <f ca="1">IF(B2307="","",IF(ISERROR(MATCH($J2307,SorP!$B$1:$B$6226,0)),"",INDIRECT("'SorP'!$A$"&amp;MATCH($S2307&amp;$J2307,SorP!C:C,0))))</f>
        <v/>
      </c>
      <c r="U2307" s="168"/>
      <c r="V2307" s="169" t="e">
        <f>IF(C2307="",NA(),MATCH($B2307&amp;$C2307,'Smelter Look-up'!$J:$J,0))</f>
        <v>#N/A</v>
      </c>
      <c r="X2307" s="170">
        <f t="shared" ca="1" si="183"/>
        <v>0</v>
      </c>
      <c r="AB2307" s="313" t="str">
        <f t="shared" si="180"/>
        <v/>
      </c>
      <c r="AC2307" s="170" t="str">
        <f t="shared" si="181"/>
        <v/>
      </c>
      <c r="AD2307" s="170" t="str">
        <f t="shared" si="182"/>
        <v/>
      </c>
    </row>
    <row r="2308" spans="1:30" s="170" customFormat="1" ht="20.399999999999999">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84"/>
        <v/>
      </c>
      <c r="T2308" s="155" t="str">
        <f ca="1">IF(B2308="","",IF(ISERROR(MATCH($J2308,SorP!$B$1:$B$6226,0)),"",INDIRECT("'SorP'!$A$"&amp;MATCH($S2308&amp;$J2308,SorP!C:C,0))))</f>
        <v/>
      </c>
      <c r="U2308" s="168"/>
      <c r="V2308" s="169" t="e">
        <f>IF(C2308="",NA(),MATCH($B2308&amp;$C2308,'Smelter Look-up'!$J:$J,0))</f>
        <v>#N/A</v>
      </c>
      <c r="X2308" s="170">
        <f t="shared" ca="1" si="183"/>
        <v>0</v>
      </c>
      <c r="AB2308" s="313" t="str">
        <f t="shared" si="180"/>
        <v/>
      </c>
      <c r="AC2308" s="170" t="str">
        <f t="shared" si="181"/>
        <v/>
      </c>
      <c r="AD2308" s="170" t="str">
        <f t="shared" si="182"/>
        <v/>
      </c>
    </row>
    <row r="2309" spans="1:30" s="170" customFormat="1" ht="20.399999999999999">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84"/>
        <v/>
      </c>
      <c r="T2309" s="155" t="str">
        <f ca="1">IF(B2309="","",IF(ISERROR(MATCH($J2309,SorP!$B$1:$B$6226,0)),"",INDIRECT("'SorP'!$A$"&amp;MATCH($S2309&amp;$J2309,SorP!C:C,0))))</f>
        <v/>
      </c>
      <c r="U2309" s="168"/>
      <c r="V2309" s="169" t="e">
        <f>IF(C2309="",NA(),MATCH($B2309&amp;$C2309,'Smelter Look-up'!$J:$J,0))</f>
        <v>#N/A</v>
      </c>
      <c r="X2309" s="170">
        <f t="shared" ca="1" si="183"/>
        <v>0</v>
      </c>
      <c r="AB2309" s="313" t="str">
        <f t="shared" si="180"/>
        <v/>
      </c>
      <c r="AC2309" s="170" t="str">
        <f t="shared" si="181"/>
        <v/>
      </c>
      <c r="AD2309" s="170" t="str">
        <f t="shared" si="182"/>
        <v/>
      </c>
    </row>
    <row r="2310" spans="1:30" s="170" customFormat="1" ht="20.399999999999999">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84"/>
        <v/>
      </c>
      <c r="T2310" s="155" t="str">
        <f ca="1">IF(B2310="","",IF(ISERROR(MATCH($J2310,SorP!$B$1:$B$6226,0)),"",INDIRECT("'SorP'!$A$"&amp;MATCH($S2310&amp;$J2310,SorP!C:C,0))))</f>
        <v/>
      </c>
      <c r="U2310" s="168"/>
      <c r="V2310" s="169" t="e">
        <f>IF(C2310="",NA(),MATCH($B2310&amp;$C2310,'Smelter Look-up'!$J:$J,0))</f>
        <v>#N/A</v>
      </c>
      <c r="X2310" s="170">
        <f t="shared" ca="1" si="183"/>
        <v>0</v>
      </c>
      <c r="AB2310" s="313" t="str">
        <f t="shared" ref="AB2310:AB2373" si="185">IF(C2310="","",B2310)</f>
        <v/>
      </c>
      <c r="AC2310" s="170" t="str">
        <f t="shared" ref="AC2310:AC2373" si="186">B2310</f>
        <v/>
      </c>
      <c r="AD2310" s="170" t="str">
        <f t="shared" ref="AD2310:AD2373" si="187">IF(C2310="Smelter not listed",D2310,C2310)</f>
        <v/>
      </c>
    </row>
    <row r="2311" spans="1:30" s="170" customFormat="1" ht="20.399999999999999">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84"/>
        <v/>
      </c>
      <c r="T2311" s="155" t="str">
        <f ca="1">IF(B2311="","",IF(ISERROR(MATCH($J2311,SorP!$B$1:$B$6226,0)),"",INDIRECT("'SorP'!$A$"&amp;MATCH($S2311&amp;$J2311,SorP!C:C,0))))</f>
        <v/>
      </c>
      <c r="U2311" s="168"/>
      <c r="V2311" s="169" t="e">
        <f>IF(C2311="",NA(),MATCH($B2311&amp;$C2311,'Smelter Look-up'!$J:$J,0))</f>
        <v>#N/A</v>
      </c>
      <c r="X2311" s="170">
        <f t="shared" ca="1" si="183"/>
        <v>0</v>
      </c>
      <c r="AB2311" s="313" t="str">
        <f t="shared" si="185"/>
        <v/>
      </c>
      <c r="AC2311" s="170" t="str">
        <f t="shared" si="186"/>
        <v/>
      </c>
      <c r="AD2311" s="170" t="str">
        <f t="shared" si="187"/>
        <v/>
      </c>
    </row>
    <row r="2312" spans="1:30" s="170" customFormat="1" ht="20.399999999999999">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84"/>
        <v/>
      </c>
      <c r="T2312" s="155" t="str">
        <f ca="1">IF(B2312="","",IF(ISERROR(MATCH($J2312,SorP!$B$1:$B$6226,0)),"",INDIRECT("'SorP'!$A$"&amp;MATCH($S2312&amp;$J2312,SorP!C:C,0))))</f>
        <v/>
      </c>
      <c r="U2312" s="168"/>
      <c r="V2312" s="169" t="e">
        <f>IF(C2312="",NA(),MATCH($B2312&amp;$C2312,'Smelter Look-up'!$J:$J,0))</f>
        <v>#N/A</v>
      </c>
      <c r="X2312" s="170">
        <f t="shared" ca="1" si="183"/>
        <v>0</v>
      </c>
      <c r="AB2312" s="313" t="str">
        <f t="shared" si="185"/>
        <v/>
      </c>
      <c r="AC2312" s="170" t="str">
        <f t="shared" si="186"/>
        <v/>
      </c>
      <c r="AD2312" s="170" t="str">
        <f t="shared" si="187"/>
        <v/>
      </c>
    </row>
    <row r="2313" spans="1:30" s="170" customFormat="1" ht="20.399999999999999">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84"/>
        <v/>
      </c>
      <c r="T2313" s="155" t="str">
        <f ca="1">IF(B2313="","",IF(ISERROR(MATCH($J2313,SorP!$B$1:$B$6226,0)),"",INDIRECT("'SorP'!$A$"&amp;MATCH($S2313&amp;$J2313,SorP!C:C,0))))</f>
        <v/>
      </c>
      <c r="U2313" s="168"/>
      <c r="V2313" s="169" t="e">
        <f>IF(C2313="",NA(),MATCH($B2313&amp;$C2313,'Smelter Look-up'!$J:$J,0))</f>
        <v>#N/A</v>
      </c>
      <c r="X2313" s="170">
        <f t="shared" ca="1" si="183"/>
        <v>0</v>
      </c>
      <c r="AB2313" s="313" t="str">
        <f t="shared" si="185"/>
        <v/>
      </c>
      <c r="AC2313" s="170" t="str">
        <f t="shared" si="186"/>
        <v/>
      </c>
      <c r="AD2313" s="170" t="str">
        <f t="shared" si="187"/>
        <v/>
      </c>
    </row>
    <row r="2314" spans="1:30" s="170" customFormat="1" ht="20.399999999999999">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84"/>
        <v/>
      </c>
      <c r="T2314" s="155" t="str">
        <f ca="1">IF(B2314="","",IF(ISERROR(MATCH($J2314,SorP!$B$1:$B$6226,0)),"",INDIRECT("'SorP'!$A$"&amp;MATCH($S2314&amp;$J2314,SorP!C:C,0))))</f>
        <v/>
      </c>
      <c r="U2314" s="168"/>
      <c r="V2314" s="169" t="e">
        <f>IF(C2314="",NA(),MATCH($B2314&amp;$C2314,'Smelter Look-up'!$J:$J,0))</f>
        <v>#N/A</v>
      </c>
      <c r="X2314" s="170">
        <f t="shared" ca="1" si="183"/>
        <v>0</v>
      </c>
      <c r="AB2314" s="313" t="str">
        <f t="shared" si="185"/>
        <v/>
      </c>
      <c r="AC2314" s="170" t="str">
        <f t="shared" si="186"/>
        <v/>
      </c>
      <c r="AD2314" s="170" t="str">
        <f t="shared" si="187"/>
        <v/>
      </c>
    </row>
    <row r="2315" spans="1:30" s="170" customFormat="1" ht="20.399999999999999">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84"/>
        <v/>
      </c>
      <c r="T2315" s="155" t="str">
        <f ca="1">IF(B2315="","",IF(ISERROR(MATCH($J2315,SorP!$B$1:$B$6226,0)),"",INDIRECT("'SorP'!$A$"&amp;MATCH($S2315&amp;$J2315,SorP!C:C,0))))</f>
        <v/>
      </c>
      <c r="U2315" s="168"/>
      <c r="V2315" s="169" t="e">
        <f>IF(C2315="",NA(),MATCH($B2315&amp;$C2315,'Smelter Look-up'!$J:$J,0))</f>
        <v>#N/A</v>
      </c>
      <c r="X2315" s="170">
        <f t="shared" ca="1" si="183"/>
        <v>0</v>
      </c>
      <c r="AB2315" s="313" t="str">
        <f t="shared" si="185"/>
        <v/>
      </c>
      <c r="AC2315" s="170" t="str">
        <f t="shared" si="186"/>
        <v/>
      </c>
      <c r="AD2315" s="170" t="str">
        <f t="shared" si="187"/>
        <v/>
      </c>
    </row>
    <row r="2316" spans="1:30" s="170" customFormat="1" ht="20.399999999999999">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84"/>
        <v/>
      </c>
      <c r="T2316" s="155" t="str">
        <f ca="1">IF(B2316="","",IF(ISERROR(MATCH($J2316,SorP!$B$1:$B$6226,0)),"",INDIRECT("'SorP'!$A$"&amp;MATCH($S2316&amp;$J2316,SorP!C:C,0))))</f>
        <v/>
      </c>
      <c r="U2316" s="168"/>
      <c r="V2316" s="169" t="e">
        <f>IF(C2316="",NA(),MATCH($B2316&amp;$C2316,'Smelter Look-up'!$J:$J,0))</f>
        <v>#N/A</v>
      </c>
      <c r="X2316" s="170">
        <f t="shared" ca="1" si="183"/>
        <v>0</v>
      </c>
      <c r="AB2316" s="313" t="str">
        <f t="shared" si="185"/>
        <v/>
      </c>
      <c r="AC2316" s="170" t="str">
        <f t="shared" si="186"/>
        <v/>
      </c>
      <c r="AD2316" s="170" t="str">
        <f t="shared" si="187"/>
        <v/>
      </c>
    </row>
    <row r="2317" spans="1:30" s="170" customFormat="1" ht="20.399999999999999">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84"/>
        <v/>
      </c>
      <c r="T2317" s="155" t="str">
        <f ca="1">IF(B2317="","",IF(ISERROR(MATCH($J2317,SorP!$B$1:$B$6226,0)),"",INDIRECT("'SorP'!$A$"&amp;MATCH($S2317&amp;$J2317,SorP!C:C,0))))</f>
        <v/>
      </c>
      <c r="U2317" s="168"/>
      <c r="V2317" s="169" t="e">
        <f>IF(C2317="",NA(),MATCH($B2317&amp;$C2317,'Smelter Look-up'!$J:$J,0))</f>
        <v>#N/A</v>
      </c>
      <c r="X2317" s="170">
        <f t="shared" ca="1" si="183"/>
        <v>0</v>
      </c>
      <c r="AB2317" s="313" t="str">
        <f t="shared" si="185"/>
        <v/>
      </c>
      <c r="AC2317" s="170" t="str">
        <f t="shared" si="186"/>
        <v/>
      </c>
      <c r="AD2317" s="170" t="str">
        <f t="shared" si="187"/>
        <v/>
      </c>
    </row>
    <row r="2318" spans="1:30" s="170" customFormat="1" ht="20.399999999999999">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84"/>
        <v/>
      </c>
      <c r="T2318" s="155" t="str">
        <f ca="1">IF(B2318="","",IF(ISERROR(MATCH($J2318,SorP!$B$1:$B$6226,0)),"",INDIRECT("'SorP'!$A$"&amp;MATCH($S2318&amp;$J2318,SorP!C:C,0))))</f>
        <v/>
      </c>
      <c r="U2318" s="168"/>
      <c r="V2318" s="169" t="e">
        <f>IF(C2318="",NA(),MATCH($B2318&amp;$C2318,'Smelter Look-up'!$J:$J,0))</f>
        <v>#N/A</v>
      </c>
      <c r="X2318" s="170">
        <f t="shared" ca="1" si="183"/>
        <v>0</v>
      </c>
      <c r="AB2318" s="313" t="str">
        <f t="shared" si="185"/>
        <v/>
      </c>
      <c r="AC2318" s="170" t="str">
        <f t="shared" si="186"/>
        <v/>
      </c>
      <c r="AD2318" s="170" t="str">
        <f t="shared" si="187"/>
        <v/>
      </c>
    </row>
    <row r="2319" spans="1:30" s="170" customFormat="1" ht="20.399999999999999">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84"/>
        <v/>
      </c>
      <c r="T2319" s="155" t="str">
        <f ca="1">IF(B2319="","",IF(ISERROR(MATCH($J2319,SorP!$B$1:$B$6226,0)),"",INDIRECT("'SorP'!$A$"&amp;MATCH($S2319&amp;$J2319,SorP!C:C,0))))</f>
        <v/>
      </c>
      <c r="U2319" s="168"/>
      <c r="V2319" s="169" t="e">
        <f>IF(C2319="",NA(),MATCH($B2319&amp;$C2319,'Smelter Look-up'!$J:$J,0))</f>
        <v>#N/A</v>
      </c>
      <c r="X2319" s="170">
        <f t="shared" ca="1" si="183"/>
        <v>0</v>
      </c>
      <c r="AB2319" s="313" t="str">
        <f t="shared" si="185"/>
        <v/>
      </c>
      <c r="AC2319" s="170" t="str">
        <f t="shared" si="186"/>
        <v/>
      </c>
      <c r="AD2319" s="170" t="str">
        <f t="shared" si="187"/>
        <v/>
      </c>
    </row>
    <row r="2320" spans="1:30" s="170" customFormat="1" ht="20.399999999999999">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84"/>
        <v/>
      </c>
      <c r="T2320" s="155" t="str">
        <f ca="1">IF(B2320="","",IF(ISERROR(MATCH($J2320,SorP!$B$1:$B$6226,0)),"",INDIRECT("'SorP'!$A$"&amp;MATCH($S2320&amp;$J2320,SorP!C:C,0))))</f>
        <v/>
      </c>
      <c r="U2320" s="168"/>
      <c r="V2320" s="169" t="e">
        <f>IF(C2320="",NA(),MATCH($B2320&amp;$C2320,'Smelter Look-up'!$J:$J,0))</f>
        <v>#N/A</v>
      </c>
      <c r="X2320" s="170">
        <f t="shared" ca="1" si="183"/>
        <v>0</v>
      </c>
      <c r="AB2320" s="313" t="str">
        <f t="shared" si="185"/>
        <v/>
      </c>
      <c r="AC2320" s="170" t="str">
        <f t="shared" si="186"/>
        <v/>
      </c>
      <c r="AD2320" s="170" t="str">
        <f t="shared" si="187"/>
        <v/>
      </c>
    </row>
    <row r="2321" spans="1:30" s="170" customFormat="1" ht="20.399999999999999">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84"/>
        <v/>
      </c>
      <c r="T2321" s="155" t="str">
        <f ca="1">IF(B2321="","",IF(ISERROR(MATCH($J2321,SorP!$B$1:$B$6226,0)),"",INDIRECT("'SorP'!$A$"&amp;MATCH($S2321&amp;$J2321,SorP!C:C,0))))</f>
        <v/>
      </c>
      <c r="U2321" s="168"/>
      <c r="V2321" s="169" t="e">
        <f>IF(C2321="",NA(),MATCH($B2321&amp;$C2321,'Smelter Look-up'!$J:$J,0))</f>
        <v>#N/A</v>
      </c>
      <c r="X2321" s="170">
        <f t="shared" ca="1" si="183"/>
        <v>0</v>
      </c>
      <c r="AB2321" s="313" t="str">
        <f t="shared" si="185"/>
        <v/>
      </c>
      <c r="AC2321" s="170" t="str">
        <f t="shared" si="186"/>
        <v/>
      </c>
      <c r="AD2321" s="170" t="str">
        <f t="shared" si="187"/>
        <v/>
      </c>
    </row>
    <row r="2322" spans="1:30" s="170" customFormat="1" ht="20.399999999999999">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84"/>
        <v/>
      </c>
      <c r="T2322" s="155" t="str">
        <f ca="1">IF(B2322="","",IF(ISERROR(MATCH($J2322,SorP!$B$1:$B$6226,0)),"",INDIRECT("'SorP'!$A$"&amp;MATCH($S2322&amp;$J2322,SorP!C:C,0))))</f>
        <v/>
      </c>
      <c r="U2322" s="168"/>
      <c r="V2322" s="169" t="e">
        <f>IF(C2322="",NA(),MATCH($B2322&amp;$C2322,'Smelter Look-up'!$J:$J,0))</f>
        <v>#N/A</v>
      </c>
      <c r="X2322" s="170">
        <f t="shared" ca="1" si="183"/>
        <v>0</v>
      </c>
      <c r="AB2322" s="313" t="str">
        <f t="shared" si="185"/>
        <v/>
      </c>
      <c r="AC2322" s="170" t="str">
        <f t="shared" si="186"/>
        <v/>
      </c>
      <c r="AD2322" s="170" t="str">
        <f t="shared" si="187"/>
        <v/>
      </c>
    </row>
    <row r="2323" spans="1:30" s="170" customFormat="1" ht="20.399999999999999">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84"/>
        <v/>
      </c>
      <c r="T2323" s="155" t="str">
        <f ca="1">IF(B2323="","",IF(ISERROR(MATCH($J2323,SorP!$B$1:$B$6226,0)),"",INDIRECT("'SorP'!$A$"&amp;MATCH($S2323&amp;$J2323,SorP!C:C,0))))</f>
        <v/>
      </c>
      <c r="U2323" s="168"/>
      <c r="V2323" s="169" t="e">
        <f>IF(C2323="",NA(),MATCH($B2323&amp;$C2323,'Smelter Look-up'!$J:$J,0))</f>
        <v>#N/A</v>
      </c>
      <c r="X2323" s="170">
        <f t="shared" ca="1" si="183"/>
        <v>0</v>
      </c>
      <c r="AB2323" s="313" t="str">
        <f t="shared" si="185"/>
        <v/>
      </c>
      <c r="AC2323" s="170" t="str">
        <f t="shared" si="186"/>
        <v/>
      </c>
      <c r="AD2323" s="170" t="str">
        <f t="shared" si="187"/>
        <v/>
      </c>
    </row>
    <row r="2324" spans="1:30" s="170" customFormat="1" ht="20.399999999999999">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84"/>
        <v/>
      </c>
      <c r="T2324" s="155" t="str">
        <f ca="1">IF(B2324="","",IF(ISERROR(MATCH($J2324,SorP!$B$1:$B$6226,0)),"",INDIRECT("'SorP'!$A$"&amp;MATCH($S2324&amp;$J2324,SorP!C:C,0))))</f>
        <v/>
      </c>
      <c r="U2324" s="168"/>
      <c r="V2324" s="169" t="e">
        <f>IF(C2324="",NA(),MATCH($B2324&amp;$C2324,'Smelter Look-up'!$J:$J,0))</f>
        <v>#N/A</v>
      </c>
      <c r="X2324" s="170">
        <f t="shared" ca="1" si="183"/>
        <v>0</v>
      </c>
      <c r="AB2324" s="313" t="str">
        <f t="shared" si="185"/>
        <v/>
      </c>
      <c r="AC2324" s="170" t="str">
        <f t="shared" si="186"/>
        <v/>
      </c>
      <c r="AD2324" s="170" t="str">
        <f t="shared" si="187"/>
        <v/>
      </c>
    </row>
    <row r="2325" spans="1:30" s="170" customFormat="1" ht="20.399999999999999">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84"/>
        <v/>
      </c>
      <c r="T2325" s="155" t="str">
        <f ca="1">IF(B2325="","",IF(ISERROR(MATCH($J2325,SorP!$B$1:$B$6226,0)),"",INDIRECT("'SorP'!$A$"&amp;MATCH($S2325&amp;$J2325,SorP!C:C,0))))</f>
        <v/>
      </c>
      <c r="U2325" s="168"/>
      <c r="V2325" s="169" t="e">
        <f>IF(C2325="",NA(),MATCH($B2325&amp;$C2325,'Smelter Look-up'!$J:$J,0))</f>
        <v>#N/A</v>
      </c>
      <c r="X2325" s="170">
        <f t="shared" ca="1" si="183"/>
        <v>0</v>
      </c>
      <c r="AB2325" s="313" t="str">
        <f t="shared" si="185"/>
        <v/>
      </c>
      <c r="AC2325" s="170" t="str">
        <f t="shared" si="186"/>
        <v/>
      </c>
      <c r="AD2325" s="170" t="str">
        <f t="shared" si="187"/>
        <v/>
      </c>
    </row>
    <row r="2326" spans="1:30" s="170" customFormat="1" ht="20.399999999999999">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84"/>
        <v/>
      </c>
      <c r="T2326" s="155" t="str">
        <f ca="1">IF(B2326="","",IF(ISERROR(MATCH($J2326,SorP!$B$1:$B$6226,0)),"",INDIRECT("'SorP'!$A$"&amp;MATCH($S2326&amp;$J2326,SorP!C:C,0))))</f>
        <v/>
      </c>
      <c r="U2326" s="168"/>
      <c r="V2326" s="169" t="e">
        <f>IF(C2326="",NA(),MATCH($B2326&amp;$C2326,'Smelter Look-up'!$J:$J,0))</f>
        <v>#N/A</v>
      </c>
      <c r="X2326" s="170">
        <f t="shared" ca="1" si="183"/>
        <v>0</v>
      </c>
      <c r="AB2326" s="313" t="str">
        <f t="shared" si="185"/>
        <v/>
      </c>
      <c r="AC2326" s="170" t="str">
        <f t="shared" si="186"/>
        <v/>
      </c>
      <c r="AD2326" s="170" t="str">
        <f t="shared" si="187"/>
        <v/>
      </c>
    </row>
    <row r="2327" spans="1:30" s="170" customFormat="1" ht="20.399999999999999">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84"/>
        <v/>
      </c>
      <c r="T2327" s="155" t="str">
        <f ca="1">IF(B2327="","",IF(ISERROR(MATCH($J2327,SorP!$B$1:$B$6226,0)),"",INDIRECT("'SorP'!$A$"&amp;MATCH($S2327&amp;$J2327,SorP!C:C,0))))</f>
        <v/>
      </c>
      <c r="U2327" s="168"/>
      <c r="V2327" s="169" t="e">
        <f>IF(C2327="",NA(),MATCH($B2327&amp;$C2327,'Smelter Look-up'!$J:$J,0))</f>
        <v>#N/A</v>
      </c>
      <c r="X2327" s="170">
        <f t="shared" ca="1" si="183"/>
        <v>0</v>
      </c>
      <c r="AB2327" s="313" t="str">
        <f t="shared" si="185"/>
        <v/>
      </c>
      <c r="AC2327" s="170" t="str">
        <f t="shared" si="186"/>
        <v/>
      </c>
      <c r="AD2327" s="170" t="str">
        <f t="shared" si="187"/>
        <v/>
      </c>
    </row>
    <row r="2328" spans="1:30" s="170" customFormat="1" ht="20.399999999999999">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84"/>
        <v/>
      </c>
      <c r="T2328" s="155" t="str">
        <f ca="1">IF(B2328="","",IF(ISERROR(MATCH($J2328,SorP!$B$1:$B$6226,0)),"",INDIRECT("'SorP'!$A$"&amp;MATCH($S2328&amp;$J2328,SorP!C:C,0))))</f>
        <v/>
      </c>
      <c r="U2328" s="168"/>
      <c r="V2328" s="169" t="e">
        <f>IF(C2328="",NA(),MATCH($B2328&amp;$C2328,'Smelter Look-up'!$J:$J,0))</f>
        <v>#N/A</v>
      </c>
      <c r="X2328" s="170">
        <f t="shared" ca="1" si="183"/>
        <v>0</v>
      </c>
      <c r="AB2328" s="313" t="str">
        <f t="shared" si="185"/>
        <v/>
      </c>
      <c r="AC2328" s="170" t="str">
        <f t="shared" si="186"/>
        <v/>
      </c>
      <c r="AD2328" s="170" t="str">
        <f t="shared" si="187"/>
        <v/>
      </c>
    </row>
    <row r="2329" spans="1:30" s="170" customFormat="1" ht="20.399999999999999">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84"/>
        <v/>
      </c>
      <c r="T2329" s="155" t="str">
        <f ca="1">IF(B2329="","",IF(ISERROR(MATCH($J2329,SorP!$B$1:$B$6226,0)),"",INDIRECT("'SorP'!$A$"&amp;MATCH($S2329&amp;$J2329,SorP!C:C,0))))</f>
        <v/>
      </c>
      <c r="U2329" s="168"/>
      <c r="V2329" s="169" t="e">
        <f>IF(C2329="",NA(),MATCH($B2329&amp;$C2329,'Smelter Look-up'!$J:$J,0))</f>
        <v>#N/A</v>
      </c>
      <c r="X2329" s="170">
        <f t="shared" ca="1" si="183"/>
        <v>0</v>
      </c>
      <c r="AB2329" s="313" t="str">
        <f t="shared" si="185"/>
        <v/>
      </c>
      <c r="AC2329" s="170" t="str">
        <f t="shared" si="186"/>
        <v/>
      </c>
      <c r="AD2329" s="170" t="str">
        <f t="shared" si="187"/>
        <v/>
      </c>
    </row>
    <row r="2330" spans="1:30" s="170" customFormat="1" ht="20.399999999999999">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84"/>
        <v/>
      </c>
      <c r="T2330" s="155" t="str">
        <f ca="1">IF(B2330="","",IF(ISERROR(MATCH($J2330,SorP!$B$1:$B$6226,0)),"",INDIRECT("'SorP'!$A$"&amp;MATCH($S2330&amp;$J2330,SorP!C:C,0))))</f>
        <v/>
      </c>
      <c r="U2330" s="168"/>
      <c r="V2330" s="169" t="e">
        <f>IF(C2330="",NA(),MATCH($B2330&amp;$C2330,'Smelter Look-up'!$J:$J,0))</f>
        <v>#N/A</v>
      </c>
      <c r="X2330" s="170">
        <f t="shared" ca="1" si="183"/>
        <v>0</v>
      </c>
      <c r="AB2330" s="313" t="str">
        <f t="shared" si="185"/>
        <v/>
      </c>
      <c r="AC2330" s="170" t="str">
        <f t="shared" si="186"/>
        <v/>
      </c>
      <c r="AD2330" s="170" t="str">
        <f t="shared" si="187"/>
        <v/>
      </c>
    </row>
    <row r="2331" spans="1:30" s="170" customFormat="1" ht="20.399999999999999">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84"/>
        <v/>
      </c>
      <c r="T2331" s="155" t="str">
        <f ca="1">IF(B2331="","",IF(ISERROR(MATCH($J2331,SorP!$B$1:$B$6226,0)),"",INDIRECT("'SorP'!$A$"&amp;MATCH($S2331&amp;$J2331,SorP!C:C,0))))</f>
        <v/>
      </c>
      <c r="U2331" s="168"/>
      <c r="V2331" s="169" t="e">
        <f>IF(C2331="",NA(),MATCH($B2331&amp;$C2331,'Smelter Look-up'!$J:$J,0))</f>
        <v>#N/A</v>
      </c>
      <c r="X2331" s="170">
        <f t="shared" ca="1" si="183"/>
        <v>0</v>
      </c>
      <c r="AB2331" s="313" t="str">
        <f t="shared" si="185"/>
        <v/>
      </c>
      <c r="AC2331" s="170" t="str">
        <f t="shared" si="186"/>
        <v/>
      </c>
      <c r="AD2331" s="170" t="str">
        <f t="shared" si="187"/>
        <v/>
      </c>
    </row>
    <row r="2332" spans="1:30" s="170" customFormat="1" ht="20.399999999999999">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84"/>
        <v/>
      </c>
      <c r="T2332" s="155" t="str">
        <f ca="1">IF(B2332="","",IF(ISERROR(MATCH($J2332,SorP!$B$1:$B$6226,0)),"",INDIRECT("'SorP'!$A$"&amp;MATCH($S2332&amp;$J2332,SorP!C:C,0))))</f>
        <v/>
      </c>
      <c r="U2332" s="168"/>
      <c r="V2332" s="169" t="e">
        <f>IF(C2332="",NA(),MATCH($B2332&amp;$C2332,'Smelter Look-up'!$J:$J,0))</f>
        <v>#N/A</v>
      </c>
      <c r="X2332" s="170">
        <f t="shared" ca="1" si="183"/>
        <v>0</v>
      </c>
      <c r="AB2332" s="313" t="str">
        <f t="shared" si="185"/>
        <v/>
      </c>
      <c r="AC2332" s="170" t="str">
        <f t="shared" si="186"/>
        <v/>
      </c>
      <c r="AD2332" s="170" t="str">
        <f t="shared" si="187"/>
        <v/>
      </c>
    </row>
    <row r="2333" spans="1:30" s="170" customFormat="1" ht="20.399999999999999">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84"/>
        <v/>
      </c>
      <c r="T2333" s="155" t="str">
        <f ca="1">IF(B2333="","",IF(ISERROR(MATCH($J2333,SorP!$B$1:$B$6226,0)),"",INDIRECT("'SorP'!$A$"&amp;MATCH($S2333&amp;$J2333,SorP!C:C,0))))</f>
        <v/>
      </c>
      <c r="U2333" s="168"/>
      <c r="V2333" s="169" t="e">
        <f>IF(C2333="",NA(),MATCH($B2333&amp;$C2333,'Smelter Look-up'!$J:$J,0))</f>
        <v>#N/A</v>
      </c>
      <c r="X2333" s="170">
        <f t="shared" ca="1" si="183"/>
        <v>0</v>
      </c>
      <c r="AB2333" s="313" t="str">
        <f t="shared" si="185"/>
        <v/>
      </c>
      <c r="AC2333" s="170" t="str">
        <f t="shared" si="186"/>
        <v/>
      </c>
      <c r="AD2333" s="170" t="str">
        <f t="shared" si="187"/>
        <v/>
      </c>
    </row>
    <row r="2334" spans="1:30" s="170" customFormat="1" ht="20.399999999999999">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84"/>
        <v/>
      </c>
      <c r="T2334" s="155" t="str">
        <f ca="1">IF(B2334="","",IF(ISERROR(MATCH($J2334,SorP!$B$1:$B$6226,0)),"",INDIRECT("'SorP'!$A$"&amp;MATCH($S2334&amp;$J2334,SorP!C:C,0))))</f>
        <v/>
      </c>
      <c r="U2334" s="168"/>
      <c r="V2334" s="169" t="e">
        <f>IF(C2334="",NA(),MATCH($B2334&amp;$C2334,'Smelter Look-up'!$J:$J,0))</f>
        <v>#N/A</v>
      </c>
      <c r="X2334" s="170">
        <f t="shared" ca="1" si="183"/>
        <v>0</v>
      </c>
      <c r="AB2334" s="313" t="str">
        <f t="shared" si="185"/>
        <v/>
      </c>
      <c r="AC2334" s="170" t="str">
        <f t="shared" si="186"/>
        <v/>
      </c>
      <c r="AD2334" s="170" t="str">
        <f t="shared" si="187"/>
        <v/>
      </c>
    </row>
    <row r="2335" spans="1:30" s="170" customFormat="1" ht="20.399999999999999">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84"/>
        <v/>
      </c>
      <c r="T2335" s="155" t="str">
        <f ca="1">IF(B2335="","",IF(ISERROR(MATCH($J2335,SorP!$B$1:$B$6226,0)),"",INDIRECT("'SorP'!$A$"&amp;MATCH($S2335&amp;$J2335,SorP!C:C,0))))</f>
        <v/>
      </c>
      <c r="U2335" s="168"/>
      <c r="V2335" s="169" t="e">
        <f>IF(C2335="",NA(),MATCH($B2335&amp;$C2335,'Smelter Look-up'!$J:$J,0))</f>
        <v>#N/A</v>
      </c>
      <c r="X2335" s="170">
        <f t="shared" ca="1" si="183"/>
        <v>0</v>
      </c>
      <c r="AB2335" s="313" t="str">
        <f t="shared" si="185"/>
        <v/>
      </c>
      <c r="AC2335" s="170" t="str">
        <f t="shared" si="186"/>
        <v/>
      </c>
      <c r="AD2335" s="170" t="str">
        <f t="shared" si="187"/>
        <v/>
      </c>
    </row>
    <row r="2336" spans="1:30" s="170" customFormat="1" ht="20.399999999999999">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84"/>
        <v/>
      </c>
      <c r="T2336" s="155" t="str">
        <f ca="1">IF(B2336="","",IF(ISERROR(MATCH($J2336,SorP!$B$1:$B$6226,0)),"",INDIRECT("'SorP'!$A$"&amp;MATCH($S2336&amp;$J2336,SorP!C:C,0))))</f>
        <v/>
      </c>
      <c r="U2336" s="168"/>
      <c r="V2336" s="169" t="e">
        <f>IF(C2336="",NA(),MATCH($B2336&amp;$C2336,'Smelter Look-up'!$J:$J,0))</f>
        <v>#N/A</v>
      </c>
      <c r="X2336" s="170">
        <f t="shared" ca="1" si="183"/>
        <v>0</v>
      </c>
      <c r="AB2336" s="313" t="str">
        <f t="shared" si="185"/>
        <v/>
      </c>
      <c r="AC2336" s="170" t="str">
        <f t="shared" si="186"/>
        <v/>
      </c>
      <c r="AD2336" s="170" t="str">
        <f t="shared" si="187"/>
        <v/>
      </c>
    </row>
    <row r="2337" spans="1:30" s="170" customFormat="1" ht="20.399999999999999">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84"/>
        <v/>
      </c>
      <c r="T2337" s="155" t="str">
        <f ca="1">IF(B2337="","",IF(ISERROR(MATCH($J2337,SorP!$B$1:$B$6226,0)),"",INDIRECT("'SorP'!$A$"&amp;MATCH($S2337&amp;$J2337,SorP!C:C,0))))</f>
        <v/>
      </c>
      <c r="U2337" s="168"/>
      <c r="V2337" s="169" t="e">
        <f>IF(C2337="",NA(),MATCH($B2337&amp;$C2337,'Smelter Look-up'!$J:$J,0))</f>
        <v>#N/A</v>
      </c>
      <c r="X2337" s="170">
        <f t="shared" ca="1" si="183"/>
        <v>0</v>
      </c>
      <c r="AB2337" s="313" t="str">
        <f t="shared" si="185"/>
        <v/>
      </c>
      <c r="AC2337" s="170" t="str">
        <f t="shared" si="186"/>
        <v/>
      </c>
      <c r="AD2337" s="170" t="str">
        <f t="shared" si="187"/>
        <v/>
      </c>
    </row>
    <row r="2338" spans="1:30" s="170" customFormat="1" ht="20.399999999999999">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84"/>
        <v/>
      </c>
      <c r="T2338" s="155" t="str">
        <f ca="1">IF(B2338="","",IF(ISERROR(MATCH($J2338,SorP!$B$1:$B$6226,0)),"",INDIRECT("'SorP'!$A$"&amp;MATCH($S2338&amp;$J2338,SorP!C:C,0))))</f>
        <v/>
      </c>
      <c r="U2338" s="168"/>
      <c r="V2338" s="169" t="e">
        <f>IF(C2338="",NA(),MATCH($B2338&amp;$C2338,'Smelter Look-up'!$J:$J,0))</f>
        <v>#N/A</v>
      </c>
      <c r="X2338" s="170">
        <f t="shared" ca="1" si="183"/>
        <v>0</v>
      </c>
      <c r="AB2338" s="313" t="str">
        <f t="shared" si="185"/>
        <v/>
      </c>
      <c r="AC2338" s="170" t="str">
        <f t="shared" si="186"/>
        <v/>
      </c>
      <c r="AD2338" s="170" t="str">
        <f t="shared" si="187"/>
        <v/>
      </c>
    </row>
    <row r="2339" spans="1:30" s="170" customFormat="1" ht="20.399999999999999">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84"/>
        <v/>
      </c>
      <c r="T2339" s="155" t="str">
        <f ca="1">IF(B2339="","",IF(ISERROR(MATCH($J2339,SorP!$B$1:$B$6226,0)),"",INDIRECT("'SorP'!$A$"&amp;MATCH($S2339&amp;$J2339,SorP!C:C,0))))</f>
        <v/>
      </c>
      <c r="U2339" s="168"/>
      <c r="V2339" s="169" t="e">
        <f>IF(C2339="",NA(),MATCH($B2339&amp;$C2339,'Smelter Look-up'!$J:$J,0))</f>
        <v>#N/A</v>
      </c>
      <c r="X2339" s="170">
        <f t="shared" ca="1" si="183"/>
        <v>0</v>
      </c>
      <c r="AB2339" s="313" t="str">
        <f t="shared" si="185"/>
        <v/>
      </c>
      <c r="AC2339" s="170" t="str">
        <f t="shared" si="186"/>
        <v/>
      </c>
      <c r="AD2339" s="170" t="str">
        <f t="shared" si="187"/>
        <v/>
      </c>
    </row>
    <row r="2340" spans="1:30" s="170" customFormat="1" ht="20.399999999999999">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84"/>
        <v/>
      </c>
      <c r="T2340" s="155" t="str">
        <f ca="1">IF(B2340="","",IF(ISERROR(MATCH($J2340,SorP!$B$1:$B$6226,0)),"",INDIRECT("'SorP'!$A$"&amp;MATCH($S2340&amp;$J2340,SorP!C:C,0))))</f>
        <v/>
      </c>
      <c r="U2340" s="168"/>
      <c r="V2340" s="169" t="e">
        <f>IF(C2340="",NA(),MATCH($B2340&amp;$C2340,'Smelter Look-up'!$J:$J,0))</f>
        <v>#N/A</v>
      </c>
      <c r="X2340" s="170">
        <f t="shared" ca="1" si="183"/>
        <v>0</v>
      </c>
      <c r="AB2340" s="313" t="str">
        <f t="shared" si="185"/>
        <v/>
      </c>
      <c r="AC2340" s="170" t="str">
        <f t="shared" si="186"/>
        <v/>
      </c>
      <c r="AD2340" s="170" t="str">
        <f t="shared" si="187"/>
        <v/>
      </c>
    </row>
    <row r="2341" spans="1:30" s="170" customFormat="1" ht="20.399999999999999">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84"/>
        <v/>
      </c>
      <c r="T2341" s="155" t="str">
        <f ca="1">IF(B2341="","",IF(ISERROR(MATCH($J2341,SorP!$B$1:$B$6226,0)),"",INDIRECT("'SorP'!$A$"&amp;MATCH($S2341&amp;$J2341,SorP!C:C,0))))</f>
        <v/>
      </c>
      <c r="U2341" s="168"/>
      <c r="V2341" s="169" t="e">
        <f>IF(C2341="",NA(),MATCH($B2341&amp;$C2341,'Smelter Look-up'!$J:$J,0))</f>
        <v>#N/A</v>
      </c>
      <c r="X2341" s="170">
        <f t="shared" ca="1" si="183"/>
        <v>0</v>
      </c>
      <c r="AB2341" s="313" t="str">
        <f t="shared" si="185"/>
        <v/>
      </c>
      <c r="AC2341" s="170" t="str">
        <f t="shared" si="186"/>
        <v/>
      </c>
      <c r="AD2341" s="170" t="str">
        <f t="shared" si="187"/>
        <v/>
      </c>
    </row>
    <row r="2342" spans="1:30" s="170" customFormat="1" ht="20.399999999999999">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84"/>
        <v/>
      </c>
      <c r="T2342" s="155" t="str">
        <f ca="1">IF(B2342="","",IF(ISERROR(MATCH($J2342,SorP!$B$1:$B$6226,0)),"",INDIRECT("'SorP'!$A$"&amp;MATCH($S2342&amp;$J2342,SorP!C:C,0))))</f>
        <v/>
      </c>
      <c r="U2342" s="168"/>
      <c r="V2342" s="169" t="e">
        <f>IF(C2342="",NA(),MATCH($B2342&amp;$C2342,'Smelter Look-up'!$J:$J,0))</f>
        <v>#N/A</v>
      </c>
      <c r="X2342" s="170">
        <f t="shared" ca="1" si="183"/>
        <v>0</v>
      </c>
      <c r="AB2342" s="313" t="str">
        <f t="shared" si="185"/>
        <v/>
      </c>
      <c r="AC2342" s="170" t="str">
        <f t="shared" si="186"/>
        <v/>
      </c>
      <c r="AD2342" s="170" t="str">
        <f t="shared" si="187"/>
        <v/>
      </c>
    </row>
    <row r="2343" spans="1:30" s="170" customFormat="1" ht="20.399999999999999">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84"/>
        <v/>
      </c>
      <c r="T2343" s="155" t="str">
        <f ca="1">IF(B2343="","",IF(ISERROR(MATCH($J2343,SorP!$B$1:$B$6226,0)),"",INDIRECT("'SorP'!$A$"&amp;MATCH($S2343&amp;$J2343,SorP!C:C,0))))</f>
        <v/>
      </c>
      <c r="U2343" s="168"/>
      <c r="V2343" s="169" t="e">
        <f>IF(C2343="",NA(),MATCH($B2343&amp;$C2343,'Smelter Look-up'!$J:$J,0))</f>
        <v>#N/A</v>
      </c>
      <c r="X2343" s="170">
        <f t="shared" ca="1" si="183"/>
        <v>0</v>
      </c>
      <c r="AB2343" s="313" t="str">
        <f t="shared" si="185"/>
        <v/>
      </c>
      <c r="AC2343" s="170" t="str">
        <f t="shared" si="186"/>
        <v/>
      </c>
      <c r="AD2343" s="170" t="str">
        <f t="shared" si="187"/>
        <v/>
      </c>
    </row>
    <row r="2344" spans="1:30" s="170" customFormat="1" ht="20.399999999999999">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84"/>
        <v/>
      </c>
      <c r="T2344" s="155" t="str">
        <f ca="1">IF(B2344="","",IF(ISERROR(MATCH($J2344,SorP!$B$1:$B$6226,0)),"",INDIRECT("'SorP'!$A$"&amp;MATCH($S2344&amp;$J2344,SorP!C:C,0))))</f>
        <v/>
      </c>
      <c r="U2344" s="168"/>
      <c r="V2344" s="169" t="e">
        <f>IF(C2344="",NA(),MATCH($B2344&amp;$C2344,'Smelter Look-up'!$J:$J,0))</f>
        <v>#N/A</v>
      </c>
      <c r="X2344" s="170">
        <f t="shared" ca="1" si="183"/>
        <v>0</v>
      </c>
      <c r="AB2344" s="313" t="str">
        <f t="shared" si="185"/>
        <v/>
      </c>
      <c r="AC2344" s="170" t="str">
        <f t="shared" si="186"/>
        <v/>
      </c>
      <c r="AD2344" s="170" t="str">
        <f t="shared" si="187"/>
        <v/>
      </c>
    </row>
    <row r="2345" spans="1:30" s="170" customFormat="1" ht="20.399999999999999">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84"/>
        <v/>
      </c>
      <c r="T2345" s="155" t="str">
        <f ca="1">IF(B2345="","",IF(ISERROR(MATCH($J2345,SorP!$B$1:$B$6226,0)),"",INDIRECT("'SorP'!$A$"&amp;MATCH($S2345&amp;$J2345,SorP!C:C,0))))</f>
        <v/>
      </c>
      <c r="U2345" s="168"/>
      <c r="V2345" s="169" t="e">
        <f>IF(C2345="",NA(),MATCH($B2345&amp;$C2345,'Smelter Look-up'!$J:$J,0))</f>
        <v>#N/A</v>
      </c>
      <c r="X2345" s="170">
        <f t="shared" ca="1" si="183"/>
        <v>0</v>
      </c>
      <c r="AB2345" s="313" t="str">
        <f t="shared" si="185"/>
        <v/>
      </c>
      <c r="AC2345" s="170" t="str">
        <f t="shared" si="186"/>
        <v/>
      </c>
      <c r="AD2345" s="170" t="str">
        <f t="shared" si="187"/>
        <v/>
      </c>
    </row>
    <row r="2346" spans="1:30" s="170" customFormat="1" ht="20.399999999999999">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84"/>
        <v/>
      </c>
      <c r="T2346" s="155" t="str">
        <f ca="1">IF(B2346="","",IF(ISERROR(MATCH($J2346,SorP!$B$1:$B$6226,0)),"",INDIRECT("'SorP'!$A$"&amp;MATCH($S2346&amp;$J2346,SorP!C:C,0))))</f>
        <v/>
      </c>
      <c r="U2346" s="168"/>
      <c r="V2346" s="169" t="e">
        <f>IF(C2346="",NA(),MATCH($B2346&amp;$C2346,'Smelter Look-up'!$J:$J,0))</f>
        <v>#N/A</v>
      </c>
      <c r="X2346" s="170">
        <f t="shared" ca="1" si="183"/>
        <v>0</v>
      </c>
      <c r="AB2346" s="313" t="str">
        <f t="shared" si="185"/>
        <v/>
      </c>
      <c r="AC2346" s="170" t="str">
        <f t="shared" si="186"/>
        <v/>
      </c>
      <c r="AD2346" s="170" t="str">
        <f t="shared" si="187"/>
        <v/>
      </c>
    </row>
    <row r="2347" spans="1:30" s="170" customFormat="1" ht="20.399999999999999">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84"/>
        <v/>
      </c>
      <c r="T2347" s="155" t="str">
        <f ca="1">IF(B2347="","",IF(ISERROR(MATCH($J2347,SorP!$B$1:$B$6226,0)),"",INDIRECT("'SorP'!$A$"&amp;MATCH($S2347&amp;$J2347,SorP!C:C,0))))</f>
        <v/>
      </c>
      <c r="U2347" s="168"/>
      <c r="V2347" s="169" t="e">
        <f>IF(C2347="",NA(),MATCH($B2347&amp;$C2347,'Smelter Look-up'!$J:$J,0))</f>
        <v>#N/A</v>
      </c>
      <c r="X2347" s="170">
        <f t="shared" ca="1" si="183"/>
        <v>0</v>
      </c>
      <c r="AB2347" s="313" t="str">
        <f t="shared" si="185"/>
        <v/>
      </c>
      <c r="AC2347" s="170" t="str">
        <f t="shared" si="186"/>
        <v/>
      </c>
      <c r="AD2347" s="170" t="str">
        <f t="shared" si="187"/>
        <v/>
      </c>
    </row>
    <row r="2348" spans="1:30" s="170" customFormat="1" ht="20.399999999999999">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84"/>
        <v/>
      </c>
      <c r="T2348" s="155" t="str">
        <f ca="1">IF(B2348="","",IF(ISERROR(MATCH($J2348,SorP!$B$1:$B$6226,0)),"",INDIRECT("'SorP'!$A$"&amp;MATCH($S2348&amp;$J2348,SorP!C:C,0))))</f>
        <v/>
      </c>
      <c r="U2348" s="168"/>
      <c r="V2348" s="169" t="e">
        <f>IF(C2348="",NA(),MATCH($B2348&amp;$C2348,'Smelter Look-up'!$J:$J,0))</f>
        <v>#N/A</v>
      </c>
      <c r="X2348" s="170">
        <f t="shared" ca="1" si="183"/>
        <v>0</v>
      </c>
      <c r="AB2348" s="313" t="str">
        <f t="shared" si="185"/>
        <v/>
      </c>
      <c r="AC2348" s="170" t="str">
        <f t="shared" si="186"/>
        <v/>
      </c>
      <c r="AD2348" s="170" t="str">
        <f t="shared" si="187"/>
        <v/>
      </c>
    </row>
    <row r="2349" spans="1:30" s="170" customFormat="1" ht="20.399999999999999">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84"/>
        <v/>
      </c>
      <c r="T2349" s="155" t="str">
        <f ca="1">IF(B2349="","",IF(ISERROR(MATCH($J2349,SorP!$B$1:$B$6226,0)),"",INDIRECT("'SorP'!$A$"&amp;MATCH($S2349&amp;$J2349,SorP!C:C,0))))</f>
        <v/>
      </c>
      <c r="U2349" s="168"/>
      <c r="V2349" s="169" t="e">
        <f>IF(C2349="",NA(),MATCH($B2349&amp;$C2349,'Smelter Look-up'!$J:$J,0))</f>
        <v>#N/A</v>
      </c>
      <c r="X2349" s="170">
        <f t="shared" ca="1" si="183"/>
        <v>0</v>
      </c>
      <c r="AB2349" s="313" t="str">
        <f t="shared" si="185"/>
        <v/>
      </c>
      <c r="AC2349" s="170" t="str">
        <f t="shared" si="186"/>
        <v/>
      </c>
      <c r="AD2349" s="170" t="str">
        <f t="shared" si="187"/>
        <v/>
      </c>
    </row>
    <row r="2350" spans="1:30" s="170" customFormat="1" ht="20.399999999999999">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84"/>
        <v/>
      </c>
      <c r="T2350" s="155" t="str">
        <f ca="1">IF(B2350="","",IF(ISERROR(MATCH($J2350,SorP!$B$1:$B$6226,0)),"",INDIRECT("'SorP'!$A$"&amp;MATCH($S2350&amp;$J2350,SorP!C:C,0))))</f>
        <v/>
      </c>
      <c r="U2350" s="168"/>
      <c r="V2350" s="169" t="e">
        <f>IF(C2350="",NA(),MATCH($B2350&amp;$C2350,'Smelter Look-up'!$J:$J,0))</f>
        <v>#N/A</v>
      </c>
      <c r="X2350" s="170">
        <f t="shared" ca="1" si="183"/>
        <v>0</v>
      </c>
      <c r="AB2350" s="313" t="str">
        <f t="shared" si="185"/>
        <v/>
      </c>
      <c r="AC2350" s="170" t="str">
        <f t="shared" si="186"/>
        <v/>
      </c>
      <c r="AD2350" s="170" t="str">
        <f t="shared" si="187"/>
        <v/>
      </c>
    </row>
    <row r="2351" spans="1:30" s="170" customFormat="1" ht="20.399999999999999">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84"/>
        <v/>
      </c>
      <c r="T2351" s="155" t="str">
        <f ca="1">IF(B2351="","",IF(ISERROR(MATCH($J2351,SorP!$B$1:$B$6226,0)),"",INDIRECT("'SorP'!$A$"&amp;MATCH($S2351&amp;$J2351,SorP!C:C,0))))</f>
        <v/>
      </c>
      <c r="U2351" s="168"/>
      <c r="V2351" s="169" t="e">
        <f>IF(C2351="",NA(),MATCH($B2351&amp;$C2351,'Smelter Look-up'!$J:$J,0))</f>
        <v>#N/A</v>
      </c>
      <c r="X2351" s="170">
        <f t="shared" ca="1" si="183"/>
        <v>0</v>
      </c>
      <c r="AB2351" s="313" t="str">
        <f t="shared" si="185"/>
        <v/>
      </c>
      <c r="AC2351" s="170" t="str">
        <f t="shared" si="186"/>
        <v/>
      </c>
      <c r="AD2351" s="170" t="str">
        <f t="shared" si="187"/>
        <v/>
      </c>
    </row>
    <row r="2352" spans="1:30" s="170" customFormat="1" ht="20.399999999999999">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84"/>
        <v/>
      </c>
      <c r="T2352" s="155" t="str">
        <f ca="1">IF(B2352="","",IF(ISERROR(MATCH($J2352,SorP!$B$1:$B$6226,0)),"",INDIRECT("'SorP'!$A$"&amp;MATCH($S2352&amp;$J2352,SorP!C:C,0))))</f>
        <v/>
      </c>
      <c r="U2352" s="168"/>
      <c r="V2352" s="169" t="e">
        <f>IF(C2352="",NA(),MATCH($B2352&amp;$C2352,'Smelter Look-up'!$J:$J,0))</f>
        <v>#N/A</v>
      </c>
      <c r="X2352" s="170">
        <f t="shared" ca="1" si="183"/>
        <v>0</v>
      </c>
      <c r="AB2352" s="313" t="str">
        <f t="shared" si="185"/>
        <v/>
      </c>
      <c r="AC2352" s="170" t="str">
        <f t="shared" si="186"/>
        <v/>
      </c>
      <c r="AD2352" s="170" t="str">
        <f t="shared" si="187"/>
        <v/>
      </c>
    </row>
    <row r="2353" spans="1:30" s="170" customFormat="1" ht="20.399999999999999">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84"/>
        <v/>
      </c>
      <c r="T2353" s="155" t="str">
        <f ca="1">IF(B2353="","",IF(ISERROR(MATCH($J2353,SorP!$B$1:$B$6226,0)),"",INDIRECT("'SorP'!$A$"&amp;MATCH($S2353&amp;$J2353,SorP!C:C,0))))</f>
        <v/>
      </c>
      <c r="U2353" s="168"/>
      <c r="V2353" s="169" t="e">
        <f>IF(C2353="",NA(),MATCH($B2353&amp;$C2353,'Smelter Look-up'!$J:$J,0))</f>
        <v>#N/A</v>
      </c>
      <c r="X2353" s="170">
        <f t="shared" ca="1" si="183"/>
        <v>0</v>
      </c>
      <c r="AB2353" s="313" t="str">
        <f t="shared" si="185"/>
        <v/>
      </c>
      <c r="AC2353" s="170" t="str">
        <f t="shared" si="186"/>
        <v/>
      </c>
      <c r="AD2353" s="170" t="str">
        <f t="shared" si="187"/>
        <v/>
      </c>
    </row>
    <row r="2354" spans="1:30" s="170" customFormat="1" ht="20.399999999999999">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84"/>
        <v/>
      </c>
      <c r="T2354" s="155" t="str">
        <f ca="1">IF(B2354="","",IF(ISERROR(MATCH($J2354,SorP!$B$1:$B$6226,0)),"",INDIRECT("'SorP'!$A$"&amp;MATCH($S2354&amp;$J2354,SorP!C:C,0))))</f>
        <v/>
      </c>
      <c r="U2354" s="168"/>
      <c r="V2354" s="169" t="e">
        <f>IF(C2354="",NA(),MATCH($B2354&amp;$C2354,'Smelter Look-up'!$J:$J,0))</f>
        <v>#N/A</v>
      </c>
      <c r="X2354" s="170">
        <f t="shared" ca="1" si="183"/>
        <v>0</v>
      </c>
      <c r="AB2354" s="313" t="str">
        <f t="shared" si="185"/>
        <v/>
      </c>
      <c r="AC2354" s="170" t="str">
        <f t="shared" si="186"/>
        <v/>
      </c>
      <c r="AD2354" s="170" t="str">
        <f t="shared" si="187"/>
        <v/>
      </c>
    </row>
    <row r="2355" spans="1:30" s="170" customFormat="1" ht="20.399999999999999">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84"/>
        <v/>
      </c>
      <c r="T2355" s="155" t="str">
        <f ca="1">IF(B2355="","",IF(ISERROR(MATCH($J2355,SorP!$B$1:$B$6226,0)),"",INDIRECT("'SorP'!$A$"&amp;MATCH($S2355&amp;$J2355,SorP!C:C,0))))</f>
        <v/>
      </c>
      <c r="U2355" s="168"/>
      <c r="V2355" s="169" t="e">
        <f>IF(C2355="",NA(),MATCH($B2355&amp;$C2355,'Smelter Look-up'!$J:$J,0))</f>
        <v>#N/A</v>
      </c>
      <c r="X2355" s="170">
        <f t="shared" ca="1" si="183"/>
        <v>0</v>
      </c>
      <c r="AB2355" s="313" t="str">
        <f t="shared" si="185"/>
        <v/>
      </c>
      <c r="AC2355" s="170" t="str">
        <f t="shared" si="186"/>
        <v/>
      </c>
      <c r="AD2355" s="170" t="str">
        <f t="shared" si="187"/>
        <v/>
      </c>
    </row>
    <row r="2356" spans="1:30" s="170" customFormat="1" ht="20.399999999999999">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84"/>
        <v/>
      </c>
      <c r="T2356" s="155" t="str">
        <f ca="1">IF(B2356="","",IF(ISERROR(MATCH($J2356,SorP!$B$1:$B$6226,0)),"",INDIRECT("'SorP'!$A$"&amp;MATCH($S2356&amp;$J2356,SorP!C:C,0))))</f>
        <v/>
      </c>
      <c r="U2356" s="168"/>
      <c r="V2356" s="169" t="e">
        <f>IF(C2356="",NA(),MATCH($B2356&amp;$C2356,'Smelter Look-up'!$J:$J,0))</f>
        <v>#N/A</v>
      </c>
      <c r="X2356" s="170">
        <f t="shared" ca="1" si="183"/>
        <v>0</v>
      </c>
      <c r="AB2356" s="313" t="str">
        <f t="shared" si="185"/>
        <v/>
      </c>
      <c r="AC2356" s="170" t="str">
        <f t="shared" si="186"/>
        <v/>
      </c>
      <c r="AD2356" s="170" t="str">
        <f t="shared" si="187"/>
        <v/>
      </c>
    </row>
    <row r="2357" spans="1:30" s="170" customFormat="1" ht="20.399999999999999">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84"/>
        <v/>
      </c>
      <c r="T2357" s="155" t="str">
        <f ca="1">IF(B2357="","",IF(ISERROR(MATCH($J2357,SorP!$B$1:$B$6226,0)),"",INDIRECT("'SorP'!$A$"&amp;MATCH($S2357&amp;$J2357,SorP!C:C,0))))</f>
        <v/>
      </c>
      <c r="U2357" s="168"/>
      <c r="V2357" s="169" t="e">
        <f>IF(C2357="",NA(),MATCH($B2357&amp;$C2357,'Smelter Look-up'!$J:$J,0))</f>
        <v>#N/A</v>
      </c>
      <c r="X2357" s="170">
        <f t="shared" ca="1" si="183"/>
        <v>0</v>
      </c>
      <c r="AB2357" s="313" t="str">
        <f t="shared" si="185"/>
        <v/>
      </c>
      <c r="AC2357" s="170" t="str">
        <f t="shared" si="186"/>
        <v/>
      </c>
      <c r="AD2357" s="170" t="str">
        <f t="shared" si="187"/>
        <v/>
      </c>
    </row>
    <row r="2358" spans="1:30" s="170" customFormat="1" ht="20.399999999999999">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84"/>
        <v/>
      </c>
      <c r="T2358" s="155" t="str">
        <f ca="1">IF(B2358="","",IF(ISERROR(MATCH($J2358,SorP!$B$1:$B$6226,0)),"",INDIRECT("'SorP'!$A$"&amp;MATCH($S2358&amp;$J2358,SorP!C:C,0))))</f>
        <v/>
      </c>
      <c r="U2358" s="168"/>
      <c r="V2358" s="169" t="e">
        <f>IF(C2358="",NA(),MATCH($B2358&amp;$C2358,'Smelter Look-up'!$J:$J,0))</f>
        <v>#N/A</v>
      </c>
      <c r="X2358" s="170">
        <f t="shared" ca="1" si="183"/>
        <v>0</v>
      </c>
      <c r="AB2358" s="313" t="str">
        <f t="shared" si="185"/>
        <v/>
      </c>
      <c r="AC2358" s="170" t="str">
        <f t="shared" si="186"/>
        <v/>
      </c>
      <c r="AD2358" s="170" t="str">
        <f t="shared" si="187"/>
        <v/>
      </c>
    </row>
    <row r="2359" spans="1:30" s="170" customFormat="1" ht="20.399999999999999">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84"/>
        <v/>
      </c>
      <c r="T2359" s="155" t="str">
        <f ca="1">IF(B2359="","",IF(ISERROR(MATCH($J2359,SorP!$B$1:$B$6226,0)),"",INDIRECT("'SorP'!$A$"&amp;MATCH($S2359&amp;$J2359,SorP!C:C,0))))</f>
        <v/>
      </c>
      <c r="U2359" s="168"/>
      <c r="V2359" s="169" t="e">
        <f>IF(C2359="",NA(),MATCH($B2359&amp;$C2359,'Smelter Look-up'!$J:$J,0))</f>
        <v>#N/A</v>
      </c>
      <c r="X2359" s="170">
        <f t="shared" ca="1" si="183"/>
        <v>0</v>
      </c>
      <c r="AB2359" s="313" t="str">
        <f t="shared" si="185"/>
        <v/>
      </c>
      <c r="AC2359" s="170" t="str">
        <f t="shared" si="186"/>
        <v/>
      </c>
      <c r="AD2359" s="170" t="str">
        <f t="shared" si="187"/>
        <v/>
      </c>
    </row>
    <row r="2360" spans="1:30" s="170" customFormat="1" ht="20.399999999999999">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84"/>
        <v/>
      </c>
      <c r="T2360" s="155" t="str">
        <f ca="1">IF(B2360="","",IF(ISERROR(MATCH($J2360,SorP!$B$1:$B$6226,0)),"",INDIRECT("'SorP'!$A$"&amp;MATCH($S2360&amp;$J2360,SorP!C:C,0))))</f>
        <v/>
      </c>
      <c r="U2360" s="168"/>
      <c r="V2360" s="169" t="e">
        <f>IF(C2360="",NA(),MATCH($B2360&amp;$C2360,'Smelter Look-up'!$J:$J,0))</f>
        <v>#N/A</v>
      </c>
      <c r="X2360" s="170">
        <f t="shared" ca="1" si="183"/>
        <v>0</v>
      </c>
      <c r="AB2360" s="313" t="str">
        <f t="shared" si="185"/>
        <v/>
      </c>
      <c r="AC2360" s="170" t="str">
        <f t="shared" si="186"/>
        <v/>
      </c>
      <c r="AD2360" s="170" t="str">
        <f t="shared" si="187"/>
        <v/>
      </c>
    </row>
    <row r="2361" spans="1:30" s="170" customFormat="1" ht="20.399999999999999">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84"/>
        <v/>
      </c>
      <c r="T2361" s="155" t="str">
        <f ca="1">IF(B2361="","",IF(ISERROR(MATCH($J2361,SorP!$B$1:$B$6226,0)),"",INDIRECT("'SorP'!$A$"&amp;MATCH($S2361&amp;$J2361,SorP!C:C,0))))</f>
        <v/>
      </c>
      <c r="U2361" s="168"/>
      <c r="V2361" s="169" t="e">
        <f>IF(C2361="",NA(),MATCH($B2361&amp;$C2361,'Smelter Look-up'!$J:$J,0))</f>
        <v>#N/A</v>
      </c>
      <c r="X2361" s="170">
        <f t="shared" ca="1" si="183"/>
        <v>0</v>
      </c>
      <c r="AB2361" s="313" t="str">
        <f t="shared" si="185"/>
        <v/>
      </c>
      <c r="AC2361" s="170" t="str">
        <f t="shared" si="186"/>
        <v/>
      </c>
      <c r="AD2361" s="170" t="str">
        <f t="shared" si="187"/>
        <v/>
      </c>
    </row>
    <row r="2362" spans="1:30" s="170" customFormat="1" ht="20.399999999999999">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84"/>
        <v/>
      </c>
      <c r="T2362" s="155" t="str">
        <f ca="1">IF(B2362="","",IF(ISERROR(MATCH($J2362,SorP!$B$1:$B$6226,0)),"",INDIRECT("'SorP'!$A$"&amp;MATCH($S2362&amp;$J2362,SorP!C:C,0))))</f>
        <v/>
      </c>
      <c r="U2362" s="168"/>
      <c r="V2362" s="169" t="e">
        <f>IF(C2362="",NA(),MATCH($B2362&amp;$C2362,'Smelter Look-up'!$J:$J,0))</f>
        <v>#N/A</v>
      </c>
      <c r="X2362" s="170">
        <f t="shared" ca="1" si="183"/>
        <v>0</v>
      </c>
      <c r="AB2362" s="313" t="str">
        <f t="shared" si="185"/>
        <v/>
      </c>
      <c r="AC2362" s="170" t="str">
        <f t="shared" si="186"/>
        <v/>
      </c>
      <c r="AD2362" s="170" t="str">
        <f t="shared" si="187"/>
        <v/>
      </c>
    </row>
    <row r="2363" spans="1:30" s="170" customFormat="1" ht="20.399999999999999">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84"/>
        <v/>
      </c>
      <c r="T2363" s="155" t="str">
        <f ca="1">IF(B2363="","",IF(ISERROR(MATCH($J2363,SorP!$B$1:$B$6226,0)),"",INDIRECT("'SorP'!$A$"&amp;MATCH($S2363&amp;$J2363,SorP!C:C,0))))</f>
        <v/>
      </c>
      <c r="U2363" s="168"/>
      <c r="V2363" s="169" t="e">
        <f>IF(C2363="",NA(),MATCH($B2363&amp;$C2363,'Smelter Look-up'!$J:$J,0))</f>
        <v>#N/A</v>
      </c>
      <c r="X2363" s="170">
        <f t="shared" ca="1" si="183"/>
        <v>0</v>
      </c>
      <c r="AB2363" s="313" t="str">
        <f t="shared" si="185"/>
        <v/>
      </c>
      <c r="AC2363" s="170" t="str">
        <f t="shared" si="186"/>
        <v/>
      </c>
      <c r="AD2363" s="170" t="str">
        <f t="shared" si="187"/>
        <v/>
      </c>
    </row>
    <row r="2364" spans="1:30" s="170" customFormat="1" ht="20.399999999999999">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84"/>
        <v/>
      </c>
      <c r="T2364" s="155" t="str">
        <f ca="1">IF(B2364="","",IF(ISERROR(MATCH($J2364,SorP!$B$1:$B$6226,0)),"",INDIRECT("'SorP'!$A$"&amp;MATCH($S2364&amp;$J2364,SorP!C:C,0))))</f>
        <v/>
      </c>
      <c r="U2364" s="168"/>
      <c r="V2364" s="169" t="e">
        <f>IF(C2364="",NA(),MATCH($B2364&amp;$C2364,'Smelter Look-up'!$J:$J,0))</f>
        <v>#N/A</v>
      </c>
      <c r="X2364" s="170">
        <f t="shared" ca="1" si="183"/>
        <v>0</v>
      </c>
      <c r="AB2364" s="313" t="str">
        <f t="shared" si="185"/>
        <v/>
      </c>
      <c r="AC2364" s="170" t="str">
        <f t="shared" si="186"/>
        <v/>
      </c>
      <c r="AD2364" s="170" t="str">
        <f t="shared" si="187"/>
        <v/>
      </c>
    </row>
    <row r="2365" spans="1:30" s="170" customFormat="1" ht="20.399999999999999">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84"/>
        <v/>
      </c>
      <c r="T2365" s="155" t="str">
        <f ca="1">IF(B2365="","",IF(ISERROR(MATCH($J2365,SorP!$B$1:$B$6226,0)),"",INDIRECT("'SorP'!$A$"&amp;MATCH($S2365&amp;$J2365,SorP!C:C,0))))</f>
        <v/>
      </c>
      <c r="U2365" s="168"/>
      <c r="V2365" s="169" t="e">
        <f>IF(C2365="",NA(),MATCH($B2365&amp;$C2365,'Smelter Look-up'!$J:$J,0))</f>
        <v>#N/A</v>
      </c>
      <c r="X2365" s="170">
        <f t="shared" ca="1" si="183"/>
        <v>0</v>
      </c>
      <c r="AB2365" s="313" t="str">
        <f t="shared" si="185"/>
        <v/>
      </c>
      <c r="AC2365" s="170" t="str">
        <f t="shared" si="186"/>
        <v/>
      </c>
      <c r="AD2365" s="170" t="str">
        <f t="shared" si="187"/>
        <v/>
      </c>
    </row>
    <row r="2366" spans="1:30" s="170" customFormat="1" ht="20.399999999999999">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84"/>
        <v/>
      </c>
      <c r="T2366" s="155" t="str">
        <f ca="1">IF(B2366="","",IF(ISERROR(MATCH($J2366,SorP!$B$1:$B$6226,0)),"",INDIRECT("'SorP'!$A$"&amp;MATCH($S2366&amp;$J2366,SorP!C:C,0))))</f>
        <v/>
      </c>
      <c r="U2366" s="168"/>
      <c r="V2366" s="169" t="e">
        <f>IF(C2366="",NA(),MATCH($B2366&amp;$C2366,'Smelter Look-up'!$J:$J,0))</f>
        <v>#N/A</v>
      </c>
      <c r="X2366" s="170">
        <f t="shared" ca="1" si="183"/>
        <v>0</v>
      </c>
      <c r="AB2366" s="313" t="str">
        <f t="shared" si="185"/>
        <v/>
      </c>
      <c r="AC2366" s="170" t="str">
        <f t="shared" si="186"/>
        <v/>
      </c>
      <c r="AD2366" s="170" t="str">
        <f t="shared" si="187"/>
        <v/>
      </c>
    </row>
    <row r="2367" spans="1:30" s="170" customFormat="1" ht="20.399999999999999">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84"/>
        <v/>
      </c>
      <c r="T2367" s="155" t="str">
        <f ca="1">IF(B2367="","",IF(ISERROR(MATCH($J2367,SorP!$B$1:$B$6226,0)),"",INDIRECT("'SorP'!$A$"&amp;MATCH($S2367&amp;$J2367,SorP!C:C,0))))</f>
        <v/>
      </c>
      <c r="U2367" s="168"/>
      <c r="V2367" s="169" t="e">
        <f>IF(C2367="",NA(),MATCH($B2367&amp;$C2367,'Smelter Look-up'!$J:$J,0))</f>
        <v>#N/A</v>
      </c>
      <c r="X2367" s="170">
        <f t="shared" ref="X2367:X2430" ca="1" si="188">IF(AND(C2367="Smelter not listed",OR(LEN(D2367)=0,LEN(E2367)=0)),1,0)</f>
        <v>0</v>
      </c>
      <c r="AB2367" s="313" t="str">
        <f t="shared" si="185"/>
        <v/>
      </c>
      <c r="AC2367" s="170" t="str">
        <f t="shared" si="186"/>
        <v/>
      </c>
      <c r="AD2367" s="170" t="str">
        <f t="shared" si="187"/>
        <v/>
      </c>
    </row>
    <row r="2368" spans="1:30" s="170" customFormat="1" ht="20.399999999999999">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ref="S2368:S2431" ca="1" si="189">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88"/>
        <v>0</v>
      </c>
      <c r="AB2368" s="313" t="str">
        <f t="shared" si="185"/>
        <v/>
      </c>
      <c r="AC2368" s="170" t="str">
        <f t="shared" si="186"/>
        <v/>
      </c>
      <c r="AD2368" s="170" t="str">
        <f t="shared" si="187"/>
        <v/>
      </c>
    </row>
    <row r="2369" spans="1:30" s="170" customFormat="1" ht="20.399999999999999">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89"/>
        <v/>
      </c>
      <c r="T2369" s="155" t="str">
        <f ca="1">IF(B2369="","",IF(ISERROR(MATCH($J2369,SorP!$B$1:$B$6226,0)),"",INDIRECT("'SorP'!$A$"&amp;MATCH($S2369&amp;$J2369,SorP!C:C,0))))</f>
        <v/>
      </c>
      <c r="U2369" s="168"/>
      <c r="V2369" s="169" t="e">
        <f>IF(C2369="",NA(),MATCH($B2369&amp;$C2369,'Smelter Look-up'!$J:$J,0))</f>
        <v>#N/A</v>
      </c>
      <c r="X2369" s="170">
        <f t="shared" ca="1" si="188"/>
        <v>0</v>
      </c>
      <c r="AB2369" s="313" t="str">
        <f t="shared" si="185"/>
        <v/>
      </c>
      <c r="AC2369" s="170" t="str">
        <f t="shared" si="186"/>
        <v/>
      </c>
      <c r="AD2369" s="170" t="str">
        <f t="shared" si="187"/>
        <v/>
      </c>
    </row>
    <row r="2370" spans="1:30" s="170" customFormat="1" ht="20.399999999999999">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89"/>
        <v/>
      </c>
      <c r="T2370" s="155" t="str">
        <f ca="1">IF(B2370="","",IF(ISERROR(MATCH($J2370,SorP!$B$1:$B$6226,0)),"",INDIRECT("'SorP'!$A$"&amp;MATCH($S2370&amp;$J2370,SorP!C:C,0))))</f>
        <v/>
      </c>
      <c r="U2370" s="168"/>
      <c r="V2370" s="169" t="e">
        <f>IF(C2370="",NA(),MATCH($B2370&amp;$C2370,'Smelter Look-up'!$J:$J,0))</f>
        <v>#N/A</v>
      </c>
      <c r="X2370" s="170">
        <f t="shared" ca="1" si="188"/>
        <v>0</v>
      </c>
      <c r="AB2370" s="313" t="str">
        <f t="shared" si="185"/>
        <v/>
      </c>
      <c r="AC2370" s="170" t="str">
        <f t="shared" si="186"/>
        <v/>
      </c>
      <c r="AD2370" s="170" t="str">
        <f t="shared" si="187"/>
        <v/>
      </c>
    </row>
    <row r="2371" spans="1:30" s="170" customFormat="1" ht="20.399999999999999">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89"/>
        <v/>
      </c>
      <c r="T2371" s="155" t="str">
        <f ca="1">IF(B2371="","",IF(ISERROR(MATCH($J2371,SorP!$B$1:$B$6226,0)),"",INDIRECT("'SorP'!$A$"&amp;MATCH($S2371&amp;$J2371,SorP!C:C,0))))</f>
        <v/>
      </c>
      <c r="U2371" s="168"/>
      <c r="V2371" s="169" t="e">
        <f>IF(C2371="",NA(),MATCH($B2371&amp;$C2371,'Smelter Look-up'!$J:$J,0))</f>
        <v>#N/A</v>
      </c>
      <c r="X2371" s="170">
        <f t="shared" ca="1" si="188"/>
        <v>0</v>
      </c>
      <c r="AB2371" s="313" t="str">
        <f t="shared" si="185"/>
        <v/>
      </c>
      <c r="AC2371" s="170" t="str">
        <f t="shared" si="186"/>
        <v/>
      </c>
      <c r="AD2371" s="170" t="str">
        <f t="shared" si="187"/>
        <v/>
      </c>
    </row>
    <row r="2372" spans="1:30" s="170" customFormat="1" ht="20.399999999999999">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89"/>
        <v/>
      </c>
      <c r="T2372" s="155" t="str">
        <f ca="1">IF(B2372="","",IF(ISERROR(MATCH($J2372,SorP!$B$1:$B$6226,0)),"",INDIRECT("'SorP'!$A$"&amp;MATCH($S2372&amp;$J2372,SorP!C:C,0))))</f>
        <v/>
      </c>
      <c r="U2372" s="168"/>
      <c r="V2372" s="169" t="e">
        <f>IF(C2372="",NA(),MATCH($B2372&amp;$C2372,'Smelter Look-up'!$J:$J,0))</f>
        <v>#N/A</v>
      </c>
      <c r="X2372" s="170">
        <f t="shared" ca="1" si="188"/>
        <v>0</v>
      </c>
      <c r="AB2372" s="313" t="str">
        <f t="shared" si="185"/>
        <v/>
      </c>
      <c r="AC2372" s="170" t="str">
        <f t="shared" si="186"/>
        <v/>
      </c>
      <c r="AD2372" s="170" t="str">
        <f t="shared" si="187"/>
        <v/>
      </c>
    </row>
    <row r="2373" spans="1:30" s="170" customFormat="1" ht="20.399999999999999">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89"/>
        <v/>
      </c>
      <c r="T2373" s="155" t="str">
        <f ca="1">IF(B2373="","",IF(ISERROR(MATCH($J2373,SorP!$B$1:$B$6226,0)),"",INDIRECT("'SorP'!$A$"&amp;MATCH($S2373&amp;$J2373,SorP!C:C,0))))</f>
        <v/>
      </c>
      <c r="U2373" s="168"/>
      <c r="V2373" s="169" t="e">
        <f>IF(C2373="",NA(),MATCH($B2373&amp;$C2373,'Smelter Look-up'!$J:$J,0))</f>
        <v>#N/A</v>
      </c>
      <c r="X2373" s="170">
        <f t="shared" ca="1" si="188"/>
        <v>0</v>
      </c>
      <c r="AB2373" s="313" t="str">
        <f t="shared" si="185"/>
        <v/>
      </c>
      <c r="AC2373" s="170" t="str">
        <f t="shared" si="186"/>
        <v/>
      </c>
      <c r="AD2373" s="170" t="str">
        <f t="shared" si="187"/>
        <v/>
      </c>
    </row>
    <row r="2374" spans="1:30" s="170" customFormat="1" ht="20.399999999999999">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89"/>
        <v/>
      </c>
      <c r="T2374" s="155" t="str">
        <f ca="1">IF(B2374="","",IF(ISERROR(MATCH($J2374,SorP!$B$1:$B$6226,0)),"",INDIRECT("'SorP'!$A$"&amp;MATCH($S2374&amp;$J2374,SorP!C:C,0))))</f>
        <v/>
      </c>
      <c r="U2374" s="168"/>
      <c r="V2374" s="169" t="e">
        <f>IF(C2374="",NA(),MATCH($B2374&amp;$C2374,'Smelter Look-up'!$J:$J,0))</f>
        <v>#N/A</v>
      </c>
      <c r="X2374" s="170">
        <f t="shared" ca="1" si="188"/>
        <v>0</v>
      </c>
      <c r="AB2374" s="313" t="str">
        <f t="shared" ref="AB2374:AB2437" si="190">IF(C2374="","",B2374)</f>
        <v/>
      </c>
      <c r="AC2374" s="170" t="str">
        <f t="shared" ref="AC2374:AC2437" si="191">B2374</f>
        <v/>
      </c>
      <c r="AD2374" s="170" t="str">
        <f t="shared" ref="AD2374:AD2437" si="192">IF(C2374="Smelter not listed",D2374,C2374)</f>
        <v/>
      </c>
    </row>
    <row r="2375" spans="1:30" s="170" customFormat="1" ht="20.399999999999999">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89"/>
        <v/>
      </c>
      <c r="T2375" s="155" t="str">
        <f ca="1">IF(B2375="","",IF(ISERROR(MATCH($J2375,SorP!$B$1:$B$6226,0)),"",INDIRECT("'SorP'!$A$"&amp;MATCH($S2375&amp;$J2375,SorP!C:C,0))))</f>
        <v/>
      </c>
      <c r="U2375" s="168"/>
      <c r="V2375" s="169" t="e">
        <f>IF(C2375="",NA(),MATCH($B2375&amp;$C2375,'Smelter Look-up'!$J:$J,0))</f>
        <v>#N/A</v>
      </c>
      <c r="X2375" s="170">
        <f t="shared" ca="1" si="188"/>
        <v>0</v>
      </c>
      <c r="AB2375" s="313" t="str">
        <f t="shared" si="190"/>
        <v/>
      </c>
      <c r="AC2375" s="170" t="str">
        <f t="shared" si="191"/>
        <v/>
      </c>
      <c r="AD2375" s="170" t="str">
        <f t="shared" si="192"/>
        <v/>
      </c>
    </row>
    <row r="2376" spans="1:30" s="170" customFormat="1" ht="20.399999999999999">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89"/>
        <v/>
      </c>
      <c r="T2376" s="155" t="str">
        <f ca="1">IF(B2376="","",IF(ISERROR(MATCH($J2376,SorP!$B$1:$B$6226,0)),"",INDIRECT("'SorP'!$A$"&amp;MATCH($S2376&amp;$J2376,SorP!C:C,0))))</f>
        <v/>
      </c>
      <c r="U2376" s="168"/>
      <c r="V2376" s="169" t="e">
        <f>IF(C2376="",NA(),MATCH($B2376&amp;$C2376,'Smelter Look-up'!$J:$J,0))</f>
        <v>#N/A</v>
      </c>
      <c r="X2376" s="170">
        <f t="shared" ca="1" si="188"/>
        <v>0</v>
      </c>
      <c r="AB2376" s="313" t="str">
        <f t="shared" si="190"/>
        <v/>
      </c>
      <c r="AC2376" s="170" t="str">
        <f t="shared" si="191"/>
        <v/>
      </c>
      <c r="AD2376" s="170" t="str">
        <f t="shared" si="192"/>
        <v/>
      </c>
    </row>
    <row r="2377" spans="1:30" s="170" customFormat="1" ht="20.399999999999999">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89"/>
        <v/>
      </c>
      <c r="T2377" s="155" t="str">
        <f ca="1">IF(B2377="","",IF(ISERROR(MATCH($J2377,SorP!$B$1:$B$6226,0)),"",INDIRECT("'SorP'!$A$"&amp;MATCH($S2377&amp;$J2377,SorP!C:C,0))))</f>
        <v/>
      </c>
      <c r="U2377" s="168"/>
      <c r="V2377" s="169" t="e">
        <f>IF(C2377="",NA(),MATCH($B2377&amp;$C2377,'Smelter Look-up'!$J:$J,0))</f>
        <v>#N/A</v>
      </c>
      <c r="X2377" s="170">
        <f t="shared" ca="1" si="188"/>
        <v>0</v>
      </c>
      <c r="AB2377" s="313" t="str">
        <f t="shared" si="190"/>
        <v/>
      </c>
      <c r="AC2377" s="170" t="str">
        <f t="shared" si="191"/>
        <v/>
      </c>
      <c r="AD2377" s="170" t="str">
        <f t="shared" si="192"/>
        <v/>
      </c>
    </row>
    <row r="2378" spans="1:30" s="170" customFormat="1" ht="20.399999999999999">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89"/>
        <v/>
      </c>
      <c r="T2378" s="155" t="str">
        <f ca="1">IF(B2378="","",IF(ISERROR(MATCH($J2378,SorP!$B$1:$B$6226,0)),"",INDIRECT("'SorP'!$A$"&amp;MATCH($S2378&amp;$J2378,SorP!C:C,0))))</f>
        <v/>
      </c>
      <c r="U2378" s="168"/>
      <c r="V2378" s="169" t="e">
        <f>IF(C2378="",NA(),MATCH($B2378&amp;$C2378,'Smelter Look-up'!$J:$J,0))</f>
        <v>#N/A</v>
      </c>
      <c r="X2378" s="170">
        <f t="shared" ca="1" si="188"/>
        <v>0</v>
      </c>
      <c r="AB2378" s="313" t="str">
        <f t="shared" si="190"/>
        <v/>
      </c>
      <c r="AC2378" s="170" t="str">
        <f t="shared" si="191"/>
        <v/>
      </c>
      <c r="AD2378" s="170" t="str">
        <f t="shared" si="192"/>
        <v/>
      </c>
    </row>
    <row r="2379" spans="1:30" s="170" customFormat="1" ht="20.399999999999999">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89"/>
        <v/>
      </c>
      <c r="T2379" s="155" t="str">
        <f ca="1">IF(B2379="","",IF(ISERROR(MATCH($J2379,SorP!$B$1:$B$6226,0)),"",INDIRECT("'SorP'!$A$"&amp;MATCH($S2379&amp;$J2379,SorP!C:C,0))))</f>
        <v/>
      </c>
      <c r="U2379" s="168"/>
      <c r="V2379" s="169" t="e">
        <f>IF(C2379="",NA(),MATCH($B2379&amp;$C2379,'Smelter Look-up'!$J:$J,0))</f>
        <v>#N/A</v>
      </c>
      <c r="X2379" s="170">
        <f t="shared" ca="1" si="188"/>
        <v>0</v>
      </c>
      <c r="AB2379" s="313" t="str">
        <f t="shared" si="190"/>
        <v/>
      </c>
      <c r="AC2379" s="170" t="str">
        <f t="shared" si="191"/>
        <v/>
      </c>
      <c r="AD2379" s="170" t="str">
        <f t="shared" si="192"/>
        <v/>
      </c>
    </row>
    <row r="2380" spans="1:30" s="170" customFormat="1" ht="20.399999999999999">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89"/>
        <v/>
      </c>
      <c r="T2380" s="155" t="str">
        <f ca="1">IF(B2380="","",IF(ISERROR(MATCH($J2380,SorP!$B$1:$B$6226,0)),"",INDIRECT("'SorP'!$A$"&amp;MATCH($S2380&amp;$J2380,SorP!C:C,0))))</f>
        <v/>
      </c>
      <c r="U2380" s="168"/>
      <c r="V2380" s="169" t="e">
        <f>IF(C2380="",NA(),MATCH($B2380&amp;$C2380,'Smelter Look-up'!$J:$J,0))</f>
        <v>#N/A</v>
      </c>
      <c r="X2380" s="170">
        <f t="shared" ca="1" si="188"/>
        <v>0</v>
      </c>
      <c r="AB2380" s="313" t="str">
        <f t="shared" si="190"/>
        <v/>
      </c>
      <c r="AC2380" s="170" t="str">
        <f t="shared" si="191"/>
        <v/>
      </c>
      <c r="AD2380" s="170" t="str">
        <f t="shared" si="192"/>
        <v/>
      </c>
    </row>
    <row r="2381" spans="1:30" s="170" customFormat="1" ht="20.399999999999999">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89"/>
        <v/>
      </c>
      <c r="T2381" s="155" t="str">
        <f ca="1">IF(B2381="","",IF(ISERROR(MATCH($J2381,SorP!$B$1:$B$6226,0)),"",INDIRECT("'SorP'!$A$"&amp;MATCH($S2381&amp;$J2381,SorP!C:C,0))))</f>
        <v/>
      </c>
      <c r="U2381" s="168"/>
      <c r="V2381" s="169" t="e">
        <f>IF(C2381="",NA(),MATCH($B2381&amp;$C2381,'Smelter Look-up'!$J:$J,0))</f>
        <v>#N/A</v>
      </c>
      <c r="X2381" s="170">
        <f t="shared" ca="1" si="188"/>
        <v>0</v>
      </c>
      <c r="AB2381" s="313" t="str">
        <f t="shared" si="190"/>
        <v/>
      </c>
      <c r="AC2381" s="170" t="str">
        <f t="shared" si="191"/>
        <v/>
      </c>
      <c r="AD2381" s="170" t="str">
        <f t="shared" si="192"/>
        <v/>
      </c>
    </row>
    <row r="2382" spans="1:30" s="170" customFormat="1" ht="20.399999999999999">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89"/>
        <v/>
      </c>
      <c r="T2382" s="155" t="str">
        <f ca="1">IF(B2382="","",IF(ISERROR(MATCH($J2382,SorP!$B$1:$B$6226,0)),"",INDIRECT("'SorP'!$A$"&amp;MATCH($S2382&amp;$J2382,SorP!C:C,0))))</f>
        <v/>
      </c>
      <c r="U2382" s="168"/>
      <c r="V2382" s="169" t="e">
        <f>IF(C2382="",NA(),MATCH($B2382&amp;$C2382,'Smelter Look-up'!$J:$J,0))</f>
        <v>#N/A</v>
      </c>
      <c r="X2382" s="170">
        <f t="shared" ca="1" si="188"/>
        <v>0</v>
      </c>
      <c r="AB2382" s="313" t="str">
        <f t="shared" si="190"/>
        <v/>
      </c>
      <c r="AC2382" s="170" t="str">
        <f t="shared" si="191"/>
        <v/>
      </c>
      <c r="AD2382" s="170" t="str">
        <f t="shared" si="192"/>
        <v/>
      </c>
    </row>
    <row r="2383" spans="1:30" s="170" customFormat="1" ht="20.399999999999999">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89"/>
        <v/>
      </c>
      <c r="T2383" s="155" t="str">
        <f ca="1">IF(B2383="","",IF(ISERROR(MATCH($J2383,SorP!$B$1:$B$6226,0)),"",INDIRECT("'SorP'!$A$"&amp;MATCH($S2383&amp;$J2383,SorP!C:C,0))))</f>
        <v/>
      </c>
      <c r="U2383" s="168"/>
      <c r="V2383" s="169" t="e">
        <f>IF(C2383="",NA(),MATCH($B2383&amp;$C2383,'Smelter Look-up'!$J:$J,0))</f>
        <v>#N/A</v>
      </c>
      <c r="X2383" s="170">
        <f t="shared" ca="1" si="188"/>
        <v>0</v>
      </c>
      <c r="AB2383" s="313" t="str">
        <f t="shared" si="190"/>
        <v/>
      </c>
      <c r="AC2383" s="170" t="str">
        <f t="shared" si="191"/>
        <v/>
      </c>
      <c r="AD2383" s="170" t="str">
        <f t="shared" si="192"/>
        <v/>
      </c>
    </row>
    <row r="2384" spans="1:30" s="170" customFormat="1" ht="20.399999999999999">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89"/>
        <v/>
      </c>
      <c r="T2384" s="155" t="str">
        <f ca="1">IF(B2384="","",IF(ISERROR(MATCH($J2384,SorP!$B$1:$B$6226,0)),"",INDIRECT("'SorP'!$A$"&amp;MATCH($S2384&amp;$J2384,SorP!C:C,0))))</f>
        <v/>
      </c>
      <c r="U2384" s="168"/>
      <c r="V2384" s="169" t="e">
        <f>IF(C2384="",NA(),MATCH($B2384&amp;$C2384,'Smelter Look-up'!$J:$J,0))</f>
        <v>#N/A</v>
      </c>
      <c r="X2384" s="170">
        <f t="shared" ca="1" si="188"/>
        <v>0</v>
      </c>
      <c r="AB2384" s="313" t="str">
        <f t="shared" si="190"/>
        <v/>
      </c>
      <c r="AC2384" s="170" t="str">
        <f t="shared" si="191"/>
        <v/>
      </c>
      <c r="AD2384" s="170" t="str">
        <f t="shared" si="192"/>
        <v/>
      </c>
    </row>
    <row r="2385" spans="1:30" s="170" customFormat="1" ht="20.399999999999999">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89"/>
        <v/>
      </c>
      <c r="T2385" s="155" t="str">
        <f ca="1">IF(B2385="","",IF(ISERROR(MATCH($J2385,SorP!$B$1:$B$6226,0)),"",INDIRECT("'SorP'!$A$"&amp;MATCH($S2385&amp;$J2385,SorP!C:C,0))))</f>
        <v/>
      </c>
      <c r="U2385" s="168"/>
      <c r="V2385" s="169" t="e">
        <f>IF(C2385="",NA(),MATCH($B2385&amp;$C2385,'Smelter Look-up'!$J:$J,0))</f>
        <v>#N/A</v>
      </c>
      <c r="X2385" s="170">
        <f t="shared" ca="1" si="188"/>
        <v>0</v>
      </c>
      <c r="AB2385" s="313" t="str">
        <f t="shared" si="190"/>
        <v/>
      </c>
      <c r="AC2385" s="170" t="str">
        <f t="shared" si="191"/>
        <v/>
      </c>
      <c r="AD2385" s="170" t="str">
        <f t="shared" si="192"/>
        <v/>
      </c>
    </row>
    <row r="2386" spans="1:30" s="170" customFormat="1" ht="20.399999999999999">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89"/>
        <v/>
      </c>
      <c r="T2386" s="155" t="str">
        <f ca="1">IF(B2386="","",IF(ISERROR(MATCH($J2386,SorP!$B$1:$B$6226,0)),"",INDIRECT("'SorP'!$A$"&amp;MATCH($S2386&amp;$J2386,SorP!C:C,0))))</f>
        <v/>
      </c>
      <c r="U2386" s="168"/>
      <c r="V2386" s="169" t="e">
        <f>IF(C2386="",NA(),MATCH($B2386&amp;$C2386,'Smelter Look-up'!$J:$J,0))</f>
        <v>#N/A</v>
      </c>
      <c r="X2386" s="170">
        <f t="shared" ca="1" si="188"/>
        <v>0</v>
      </c>
      <c r="AB2386" s="313" t="str">
        <f t="shared" si="190"/>
        <v/>
      </c>
      <c r="AC2386" s="170" t="str">
        <f t="shared" si="191"/>
        <v/>
      </c>
      <c r="AD2386" s="170" t="str">
        <f t="shared" si="192"/>
        <v/>
      </c>
    </row>
    <row r="2387" spans="1:30" s="170" customFormat="1" ht="20.399999999999999">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89"/>
        <v/>
      </c>
      <c r="T2387" s="155" t="str">
        <f ca="1">IF(B2387="","",IF(ISERROR(MATCH($J2387,SorP!$B$1:$B$6226,0)),"",INDIRECT("'SorP'!$A$"&amp;MATCH($S2387&amp;$J2387,SorP!C:C,0))))</f>
        <v/>
      </c>
      <c r="U2387" s="168"/>
      <c r="V2387" s="169" t="e">
        <f>IF(C2387="",NA(),MATCH($B2387&amp;$C2387,'Smelter Look-up'!$J:$J,0))</f>
        <v>#N/A</v>
      </c>
      <c r="X2387" s="170">
        <f t="shared" ca="1" si="188"/>
        <v>0</v>
      </c>
      <c r="AB2387" s="313" t="str">
        <f t="shared" si="190"/>
        <v/>
      </c>
      <c r="AC2387" s="170" t="str">
        <f t="shared" si="191"/>
        <v/>
      </c>
      <c r="AD2387" s="170" t="str">
        <f t="shared" si="192"/>
        <v/>
      </c>
    </row>
    <row r="2388" spans="1:30" s="170" customFormat="1" ht="20.399999999999999">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89"/>
        <v/>
      </c>
      <c r="T2388" s="155" t="str">
        <f ca="1">IF(B2388="","",IF(ISERROR(MATCH($J2388,SorP!$B$1:$B$6226,0)),"",INDIRECT("'SorP'!$A$"&amp;MATCH($S2388&amp;$J2388,SorP!C:C,0))))</f>
        <v/>
      </c>
      <c r="U2388" s="168"/>
      <c r="V2388" s="169" t="e">
        <f>IF(C2388="",NA(),MATCH($B2388&amp;$C2388,'Smelter Look-up'!$J:$J,0))</f>
        <v>#N/A</v>
      </c>
      <c r="X2388" s="170">
        <f t="shared" ca="1" si="188"/>
        <v>0</v>
      </c>
      <c r="AB2388" s="313" t="str">
        <f t="shared" si="190"/>
        <v/>
      </c>
      <c r="AC2388" s="170" t="str">
        <f t="shared" si="191"/>
        <v/>
      </c>
      <c r="AD2388" s="170" t="str">
        <f t="shared" si="192"/>
        <v/>
      </c>
    </row>
    <row r="2389" spans="1:30" s="170" customFormat="1" ht="20.399999999999999">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89"/>
        <v/>
      </c>
      <c r="T2389" s="155" t="str">
        <f ca="1">IF(B2389="","",IF(ISERROR(MATCH($J2389,SorP!$B$1:$B$6226,0)),"",INDIRECT("'SorP'!$A$"&amp;MATCH($S2389&amp;$J2389,SorP!C:C,0))))</f>
        <v/>
      </c>
      <c r="U2389" s="168"/>
      <c r="V2389" s="169" t="e">
        <f>IF(C2389="",NA(),MATCH($B2389&amp;$C2389,'Smelter Look-up'!$J:$J,0))</f>
        <v>#N/A</v>
      </c>
      <c r="X2389" s="170">
        <f t="shared" ca="1" si="188"/>
        <v>0</v>
      </c>
      <c r="AB2389" s="313" t="str">
        <f t="shared" si="190"/>
        <v/>
      </c>
      <c r="AC2389" s="170" t="str">
        <f t="shared" si="191"/>
        <v/>
      </c>
      <c r="AD2389" s="170" t="str">
        <f t="shared" si="192"/>
        <v/>
      </c>
    </row>
    <row r="2390" spans="1:30" s="170" customFormat="1" ht="20.399999999999999">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89"/>
        <v/>
      </c>
      <c r="T2390" s="155" t="str">
        <f ca="1">IF(B2390="","",IF(ISERROR(MATCH($J2390,SorP!$B$1:$B$6226,0)),"",INDIRECT("'SorP'!$A$"&amp;MATCH($S2390&amp;$J2390,SorP!C:C,0))))</f>
        <v/>
      </c>
      <c r="U2390" s="168"/>
      <c r="V2390" s="169" t="e">
        <f>IF(C2390="",NA(),MATCH($B2390&amp;$C2390,'Smelter Look-up'!$J:$J,0))</f>
        <v>#N/A</v>
      </c>
      <c r="X2390" s="170">
        <f t="shared" ca="1" si="188"/>
        <v>0</v>
      </c>
      <c r="AB2390" s="313" t="str">
        <f t="shared" si="190"/>
        <v/>
      </c>
      <c r="AC2390" s="170" t="str">
        <f t="shared" si="191"/>
        <v/>
      </c>
      <c r="AD2390" s="170" t="str">
        <f t="shared" si="192"/>
        <v/>
      </c>
    </row>
    <row r="2391" spans="1:30" s="170" customFormat="1" ht="20.399999999999999">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89"/>
        <v/>
      </c>
      <c r="T2391" s="155" t="str">
        <f ca="1">IF(B2391="","",IF(ISERROR(MATCH($J2391,SorP!$B$1:$B$6226,0)),"",INDIRECT("'SorP'!$A$"&amp;MATCH($S2391&amp;$J2391,SorP!C:C,0))))</f>
        <v/>
      </c>
      <c r="U2391" s="168"/>
      <c r="V2391" s="169" t="e">
        <f>IF(C2391="",NA(),MATCH($B2391&amp;$C2391,'Smelter Look-up'!$J:$J,0))</f>
        <v>#N/A</v>
      </c>
      <c r="X2391" s="170">
        <f t="shared" ca="1" si="188"/>
        <v>0</v>
      </c>
      <c r="AB2391" s="313" t="str">
        <f t="shared" si="190"/>
        <v/>
      </c>
      <c r="AC2391" s="170" t="str">
        <f t="shared" si="191"/>
        <v/>
      </c>
      <c r="AD2391" s="170" t="str">
        <f t="shared" si="192"/>
        <v/>
      </c>
    </row>
    <row r="2392" spans="1:30" s="170" customFormat="1" ht="20.399999999999999">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89"/>
        <v/>
      </c>
      <c r="T2392" s="155" t="str">
        <f ca="1">IF(B2392="","",IF(ISERROR(MATCH($J2392,SorP!$B$1:$B$6226,0)),"",INDIRECT("'SorP'!$A$"&amp;MATCH($S2392&amp;$J2392,SorP!C:C,0))))</f>
        <v/>
      </c>
      <c r="U2392" s="168"/>
      <c r="V2392" s="169" t="e">
        <f>IF(C2392="",NA(),MATCH($B2392&amp;$C2392,'Smelter Look-up'!$J:$J,0))</f>
        <v>#N/A</v>
      </c>
      <c r="X2392" s="170">
        <f t="shared" ca="1" si="188"/>
        <v>0</v>
      </c>
      <c r="AB2392" s="313" t="str">
        <f t="shared" si="190"/>
        <v/>
      </c>
      <c r="AC2392" s="170" t="str">
        <f t="shared" si="191"/>
        <v/>
      </c>
      <c r="AD2392" s="170" t="str">
        <f t="shared" si="192"/>
        <v/>
      </c>
    </row>
    <row r="2393" spans="1:30" s="170" customFormat="1" ht="20.399999999999999">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89"/>
        <v/>
      </c>
      <c r="T2393" s="155" t="str">
        <f ca="1">IF(B2393="","",IF(ISERROR(MATCH($J2393,SorP!$B$1:$B$6226,0)),"",INDIRECT("'SorP'!$A$"&amp;MATCH($S2393&amp;$J2393,SorP!C:C,0))))</f>
        <v/>
      </c>
      <c r="U2393" s="168"/>
      <c r="V2393" s="169" t="e">
        <f>IF(C2393="",NA(),MATCH($B2393&amp;$C2393,'Smelter Look-up'!$J:$J,0))</f>
        <v>#N/A</v>
      </c>
      <c r="X2393" s="170">
        <f t="shared" ca="1" si="188"/>
        <v>0</v>
      </c>
      <c r="AB2393" s="313" t="str">
        <f t="shared" si="190"/>
        <v/>
      </c>
      <c r="AC2393" s="170" t="str">
        <f t="shared" si="191"/>
        <v/>
      </c>
      <c r="AD2393" s="170" t="str">
        <f t="shared" si="192"/>
        <v/>
      </c>
    </row>
    <row r="2394" spans="1:30" s="170" customFormat="1" ht="20.399999999999999">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89"/>
        <v/>
      </c>
      <c r="T2394" s="155" t="str">
        <f ca="1">IF(B2394="","",IF(ISERROR(MATCH($J2394,SorP!$B$1:$B$6226,0)),"",INDIRECT("'SorP'!$A$"&amp;MATCH($S2394&amp;$J2394,SorP!C:C,0))))</f>
        <v/>
      </c>
      <c r="U2394" s="168"/>
      <c r="V2394" s="169" t="e">
        <f>IF(C2394="",NA(),MATCH($B2394&amp;$C2394,'Smelter Look-up'!$J:$J,0))</f>
        <v>#N/A</v>
      </c>
      <c r="X2394" s="170">
        <f t="shared" ca="1" si="188"/>
        <v>0</v>
      </c>
      <c r="AB2394" s="313" t="str">
        <f t="shared" si="190"/>
        <v/>
      </c>
      <c r="AC2394" s="170" t="str">
        <f t="shared" si="191"/>
        <v/>
      </c>
      <c r="AD2394" s="170" t="str">
        <f t="shared" si="192"/>
        <v/>
      </c>
    </row>
    <row r="2395" spans="1:30" s="170" customFormat="1" ht="20.399999999999999">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89"/>
        <v/>
      </c>
      <c r="T2395" s="155" t="str">
        <f ca="1">IF(B2395="","",IF(ISERROR(MATCH($J2395,SorP!$B$1:$B$6226,0)),"",INDIRECT("'SorP'!$A$"&amp;MATCH($S2395&amp;$J2395,SorP!C:C,0))))</f>
        <v/>
      </c>
      <c r="U2395" s="168"/>
      <c r="V2395" s="169" t="e">
        <f>IF(C2395="",NA(),MATCH($B2395&amp;$C2395,'Smelter Look-up'!$J:$J,0))</f>
        <v>#N/A</v>
      </c>
      <c r="X2395" s="170">
        <f t="shared" ca="1" si="188"/>
        <v>0</v>
      </c>
      <c r="AB2395" s="313" t="str">
        <f t="shared" si="190"/>
        <v/>
      </c>
      <c r="AC2395" s="170" t="str">
        <f t="shared" si="191"/>
        <v/>
      </c>
      <c r="AD2395" s="170" t="str">
        <f t="shared" si="192"/>
        <v/>
      </c>
    </row>
    <row r="2396" spans="1:30" s="170" customFormat="1" ht="20.399999999999999">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89"/>
        <v/>
      </c>
      <c r="T2396" s="155" t="str">
        <f ca="1">IF(B2396="","",IF(ISERROR(MATCH($J2396,SorP!$B$1:$B$6226,0)),"",INDIRECT("'SorP'!$A$"&amp;MATCH($S2396&amp;$J2396,SorP!C:C,0))))</f>
        <v/>
      </c>
      <c r="U2396" s="168"/>
      <c r="V2396" s="169" t="e">
        <f>IF(C2396="",NA(),MATCH($B2396&amp;$C2396,'Smelter Look-up'!$J:$J,0))</f>
        <v>#N/A</v>
      </c>
      <c r="X2396" s="170">
        <f t="shared" ca="1" si="188"/>
        <v>0</v>
      </c>
      <c r="AB2396" s="313" t="str">
        <f t="shared" si="190"/>
        <v/>
      </c>
      <c r="AC2396" s="170" t="str">
        <f t="shared" si="191"/>
        <v/>
      </c>
      <c r="AD2396" s="170" t="str">
        <f t="shared" si="192"/>
        <v/>
      </c>
    </row>
    <row r="2397" spans="1:30" s="170" customFormat="1" ht="20.399999999999999">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89"/>
        <v/>
      </c>
      <c r="T2397" s="155" t="str">
        <f ca="1">IF(B2397="","",IF(ISERROR(MATCH($J2397,SorP!$B$1:$B$6226,0)),"",INDIRECT("'SorP'!$A$"&amp;MATCH($S2397&amp;$J2397,SorP!C:C,0))))</f>
        <v/>
      </c>
      <c r="U2397" s="168"/>
      <c r="V2397" s="169" t="e">
        <f>IF(C2397="",NA(),MATCH($B2397&amp;$C2397,'Smelter Look-up'!$J:$J,0))</f>
        <v>#N/A</v>
      </c>
      <c r="X2397" s="170">
        <f t="shared" ca="1" si="188"/>
        <v>0</v>
      </c>
      <c r="AB2397" s="313" t="str">
        <f t="shared" si="190"/>
        <v/>
      </c>
      <c r="AC2397" s="170" t="str">
        <f t="shared" si="191"/>
        <v/>
      </c>
      <c r="AD2397" s="170" t="str">
        <f t="shared" si="192"/>
        <v/>
      </c>
    </row>
    <row r="2398" spans="1:30" s="170" customFormat="1" ht="20.399999999999999">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89"/>
        <v/>
      </c>
      <c r="T2398" s="155" t="str">
        <f ca="1">IF(B2398="","",IF(ISERROR(MATCH($J2398,SorP!$B$1:$B$6226,0)),"",INDIRECT("'SorP'!$A$"&amp;MATCH($S2398&amp;$J2398,SorP!C:C,0))))</f>
        <v/>
      </c>
      <c r="U2398" s="168"/>
      <c r="V2398" s="169" t="e">
        <f>IF(C2398="",NA(),MATCH($B2398&amp;$C2398,'Smelter Look-up'!$J:$J,0))</f>
        <v>#N/A</v>
      </c>
      <c r="X2398" s="170">
        <f t="shared" ca="1" si="188"/>
        <v>0</v>
      </c>
      <c r="AB2398" s="313" t="str">
        <f t="shared" si="190"/>
        <v/>
      </c>
      <c r="AC2398" s="170" t="str">
        <f t="shared" si="191"/>
        <v/>
      </c>
      <c r="AD2398" s="170" t="str">
        <f t="shared" si="192"/>
        <v/>
      </c>
    </row>
    <row r="2399" spans="1:30" s="170" customFormat="1" ht="20.399999999999999">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89"/>
        <v/>
      </c>
      <c r="T2399" s="155" t="str">
        <f ca="1">IF(B2399="","",IF(ISERROR(MATCH($J2399,SorP!$B$1:$B$6226,0)),"",INDIRECT("'SorP'!$A$"&amp;MATCH($S2399&amp;$J2399,SorP!C:C,0))))</f>
        <v/>
      </c>
      <c r="U2399" s="168"/>
      <c r="V2399" s="169" t="e">
        <f>IF(C2399="",NA(),MATCH($B2399&amp;$C2399,'Smelter Look-up'!$J:$J,0))</f>
        <v>#N/A</v>
      </c>
      <c r="X2399" s="170">
        <f t="shared" ca="1" si="188"/>
        <v>0</v>
      </c>
      <c r="AB2399" s="313" t="str">
        <f t="shared" si="190"/>
        <v/>
      </c>
      <c r="AC2399" s="170" t="str">
        <f t="shared" si="191"/>
        <v/>
      </c>
      <c r="AD2399" s="170" t="str">
        <f t="shared" si="192"/>
        <v/>
      </c>
    </row>
    <row r="2400" spans="1:30" s="170" customFormat="1" ht="20.399999999999999">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89"/>
        <v/>
      </c>
      <c r="T2400" s="155" t="str">
        <f ca="1">IF(B2400="","",IF(ISERROR(MATCH($J2400,SorP!$B$1:$B$6226,0)),"",INDIRECT("'SorP'!$A$"&amp;MATCH($S2400&amp;$J2400,SorP!C:C,0))))</f>
        <v/>
      </c>
      <c r="U2400" s="168"/>
      <c r="V2400" s="169" t="e">
        <f>IF(C2400="",NA(),MATCH($B2400&amp;$C2400,'Smelter Look-up'!$J:$J,0))</f>
        <v>#N/A</v>
      </c>
      <c r="X2400" s="170">
        <f t="shared" ca="1" si="188"/>
        <v>0</v>
      </c>
      <c r="AB2400" s="313" t="str">
        <f t="shared" si="190"/>
        <v/>
      </c>
      <c r="AC2400" s="170" t="str">
        <f t="shared" si="191"/>
        <v/>
      </c>
      <c r="AD2400" s="170" t="str">
        <f t="shared" si="192"/>
        <v/>
      </c>
    </row>
    <row r="2401" spans="1:30" s="170" customFormat="1" ht="20.399999999999999">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89"/>
        <v/>
      </c>
      <c r="T2401" s="155" t="str">
        <f ca="1">IF(B2401="","",IF(ISERROR(MATCH($J2401,SorP!$B$1:$B$6226,0)),"",INDIRECT("'SorP'!$A$"&amp;MATCH($S2401&amp;$J2401,SorP!C:C,0))))</f>
        <v/>
      </c>
      <c r="U2401" s="168"/>
      <c r="V2401" s="169" t="e">
        <f>IF(C2401="",NA(),MATCH($B2401&amp;$C2401,'Smelter Look-up'!$J:$J,0))</f>
        <v>#N/A</v>
      </c>
      <c r="X2401" s="170">
        <f t="shared" ca="1" si="188"/>
        <v>0</v>
      </c>
      <c r="AB2401" s="313" t="str">
        <f t="shared" si="190"/>
        <v/>
      </c>
      <c r="AC2401" s="170" t="str">
        <f t="shared" si="191"/>
        <v/>
      </c>
      <c r="AD2401" s="170" t="str">
        <f t="shared" si="192"/>
        <v/>
      </c>
    </row>
    <row r="2402" spans="1:30" s="170" customFormat="1" ht="20.399999999999999">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89"/>
        <v/>
      </c>
      <c r="T2402" s="155" t="str">
        <f ca="1">IF(B2402="","",IF(ISERROR(MATCH($J2402,SorP!$B$1:$B$6226,0)),"",INDIRECT("'SorP'!$A$"&amp;MATCH($S2402&amp;$J2402,SorP!C:C,0))))</f>
        <v/>
      </c>
      <c r="U2402" s="168"/>
      <c r="V2402" s="169" t="e">
        <f>IF(C2402="",NA(),MATCH($B2402&amp;$C2402,'Smelter Look-up'!$J:$J,0))</f>
        <v>#N/A</v>
      </c>
      <c r="X2402" s="170">
        <f t="shared" ca="1" si="188"/>
        <v>0</v>
      </c>
      <c r="AB2402" s="313" t="str">
        <f t="shared" si="190"/>
        <v/>
      </c>
      <c r="AC2402" s="170" t="str">
        <f t="shared" si="191"/>
        <v/>
      </c>
      <c r="AD2402" s="170" t="str">
        <f t="shared" si="192"/>
        <v/>
      </c>
    </row>
    <row r="2403" spans="1:30" s="170" customFormat="1" ht="20.399999999999999">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89"/>
        <v/>
      </c>
      <c r="T2403" s="155" t="str">
        <f ca="1">IF(B2403="","",IF(ISERROR(MATCH($J2403,SorP!$B$1:$B$6226,0)),"",INDIRECT("'SorP'!$A$"&amp;MATCH($S2403&amp;$J2403,SorP!C:C,0))))</f>
        <v/>
      </c>
      <c r="U2403" s="168"/>
      <c r="V2403" s="169" t="e">
        <f>IF(C2403="",NA(),MATCH($B2403&amp;$C2403,'Smelter Look-up'!$J:$J,0))</f>
        <v>#N/A</v>
      </c>
      <c r="X2403" s="170">
        <f t="shared" ca="1" si="188"/>
        <v>0</v>
      </c>
      <c r="AB2403" s="313" t="str">
        <f t="shared" si="190"/>
        <v/>
      </c>
      <c r="AC2403" s="170" t="str">
        <f t="shared" si="191"/>
        <v/>
      </c>
      <c r="AD2403" s="170" t="str">
        <f t="shared" si="192"/>
        <v/>
      </c>
    </row>
    <row r="2404" spans="1:30" s="170" customFormat="1" ht="20.399999999999999">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89"/>
        <v/>
      </c>
      <c r="T2404" s="155" t="str">
        <f ca="1">IF(B2404="","",IF(ISERROR(MATCH($J2404,SorP!$B$1:$B$6226,0)),"",INDIRECT("'SorP'!$A$"&amp;MATCH($S2404&amp;$J2404,SorP!C:C,0))))</f>
        <v/>
      </c>
      <c r="U2404" s="168"/>
      <c r="V2404" s="169" t="e">
        <f>IF(C2404="",NA(),MATCH($B2404&amp;$C2404,'Smelter Look-up'!$J:$J,0))</f>
        <v>#N/A</v>
      </c>
      <c r="X2404" s="170">
        <f t="shared" ca="1" si="188"/>
        <v>0</v>
      </c>
      <c r="AB2404" s="313" t="str">
        <f t="shared" si="190"/>
        <v/>
      </c>
      <c r="AC2404" s="170" t="str">
        <f t="shared" si="191"/>
        <v/>
      </c>
      <c r="AD2404" s="170" t="str">
        <f t="shared" si="192"/>
        <v/>
      </c>
    </row>
    <row r="2405" spans="1:30" s="170" customFormat="1" ht="20.399999999999999">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89"/>
        <v/>
      </c>
      <c r="T2405" s="155" t="str">
        <f ca="1">IF(B2405="","",IF(ISERROR(MATCH($J2405,SorP!$B$1:$B$6226,0)),"",INDIRECT("'SorP'!$A$"&amp;MATCH($S2405&amp;$J2405,SorP!C:C,0))))</f>
        <v/>
      </c>
      <c r="U2405" s="168"/>
      <c r="V2405" s="169" t="e">
        <f>IF(C2405="",NA(),MATCH($B2405&amp;$C2405,'Smelter Look-up'!$J:$J,0))</f>
        <v>#N/A</v>
      </c>
      <c r="X2405" s="170">
        <f t="shared" ca="1" si="188"/>
        <v>0</v>
      </c>
      <c r="AB2405" s="313" t="str">
        <f t="shared" si="190"/>
        <v/>
      </c>
      <c r="AC2405" s="170" t="str">
        <f t="shared" si="191"/>
        <v/>
      </c>
      <c r="AD2405" s="170" t="str">
        <f t="shared" si="192"/>
        <v/>
      </c>
    </row>
    <row r="2406" spans="1:30" s="170" customFormat="1" ht="20.399999999999999">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89"/>
        <v/>
      </c>
      <c r="T2406" s="155" t="str">
        <f ca="1">IF(B2406="","",IF(ISERROR(MATCH($J2406,SorP!$B$1:$B$6226,0)),"",INDIRECT("'SorP'!$A$"&amp;MATCH($S2406&amp;$J2406,SorP!C:C,0))))</f>
        <v/>
      </c>
      <c r="U2406" s="168"/>
      <c r="V2406" s="169" t="e">
        <f>IF(C2406="",NA(),MATCH($B2406&amp;$C2406,'Smelter Look-up'!$J:$J,0))</f>
        <v>#N/A</v>
      </c>
      <c r="X2406" s="170">
        <f t="shared" ca="1" si="188"/>
        <v>0</v>
      </c>
      <c r="AB2406" s="313" t="str">
        <f t="shared" si="190"/>
        <v/>
      </c>
      <c r="AC2406" s="170" t="str">
        <f t="shared" si="191"/>
        <v/>
      </c>
      <c r="AD2406" s="170" t="str">
        <f t="shared" si="192"/>
        <v/>
      </c>
    </row>
    <row r="2407" spans="1:30" s="170" customFormat="1" ht="20.399999999999999">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89"/>
        <v/>
      </c>
      <c r="T2407" s="155" t="str">
        <f ca="1">IF(B2407="","",IF(ISERROR(MATCH($J2407,SorP!$B$1:$B$6226,0)),"",INDIRECT("'SorP'!$A$"&amp;MATCH($S2407&amp;$J2407,SorP!C:C,0))))</f>
        <v/>
      </c>
      <c r="U2407" s="168"/>
      <c r="V2407" s="169" t="e">
        <f>IF(C2407="",NA(),MATCH($B2407&amp;$C2407,'Smelter Look-up'!$J:$J,0))</f>
        <v>#N/A</v>
      </c>
      <c r="X2407" s="170">
        <f t="shared" ca="1" si="188"/>
        <v>0</v>
      </c>
      <c r="AB2407" s="313" t="str">
        <f t="shared" si="190"/>
        <v/>
      </c>
      <c r="AC2407" s="170" t="str">
        <f t="shared" si="191"/>
        <v/>
      </c>
      <c r="AD2407" s="170" t="str">
        <f t="shared" si="192"/>
        <v/>
      </c>
    </row>
    <row r="2408" spans="1:30" s="170" customFormat="1" ht="20.399999999999999">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89"/>
        <v/>
      </c>
      <c r="T2408" s="155" t="str">
        <f ca="1">IF(B2408="","",IF(ISERROR(MATCH($J2408,SorP!$B$1:$B$6226,0)),"",INDIRECT("'SorP'!$A$"&amp;MATCH($S2408&amp;$J2408,SorP!C:C,0))))</f>
        <v/>
      </c>
      <c r="U2408" s="168"/>
      <c r="V2408" s="169" t="e">
        <f>IF(C2408="",NA(),MATCH($B2408&amp;$C2408,'Smelter Look-up'!$J:$J,0))</f>
        <v>#N/A</v>
      </c>
      <c r="X2408" s="170">
        <f t="shared" ca="1" si="188"/>
        <v>0</v>
      </c>
      <c r="AB2408" s="313" t="str">
        <f t="shared" si="190"/>
        <v/>
      </c>
      <c r="AC2408" s="170" t="str">
        <f t="shared" si="191"/>
        <v/>
      </c>
      <c r="AD2408" s="170" t="str">
        <f t="shared" si="192"/>
        <v/>
      </c>
    </row>
    <row r="2409" spans="1:30" s="170" customFormat="1" ht="20.399999999999999">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89"/>
        <v/>
      </c>
      <c r="T2409" s="155" t="str">
        <f ca="1">IF(B2409="","",IF(ISERROR(MATCH($J2409,SorP!$B$1:$B$6226,0)),"",INDIRECT("'SorP'!$A$"&amp;MATCH($S2409&amp;$J2409,SorP!C:C,0))))</f>
        <v/>
      </c>
      <c r="U2409" s="168"/>
      <c r="V2409" s="169" t="e">
        <f>IF(C2409="",NA(),MATCH($B2409&amp;$C2409,'Smelter Look-up'!$J:$J,0))</f>
        <v>#N/A</v>
      </c>
      <c r="X2409" s="170">
        <f t="shared" ca="1" si="188"/>
        <v>0</v>
      </c>
      <c r="AB2409" s="313" t="str">
        <f t="shared" si="190"/>
        <v/>
      </c>
      <c r="AC2409" s="170" t="str">
        <f t="shared" si="191"/>
        <v/>
      </c>
      <c r="AD2409" s="170" t="str">
        <f t="shared" si="192"/>
        <v/>
      </c>
    </row>
    <row r="2410" spans="1:30" s="170" customFormat="1" ht="20.399999999999999">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89"/>
        <v/>
      </c>
      <c r="T2410" s="155" t="str">
        <f ca="1">IF(B2410="","",IF(ISERROR(MATCH($J2410,SorP!$B$1:$B$6226,0)),"",INDIRECT("'SorP'!$A$"&amp;MATCH($S2410&amp;$J2410,SorP!C:C,0))))</f>
        <v/>
      </c>
      <c r="U2410" s="168"/>
      <c r="V2410" s="169" t="e">
        <f>IF(C2410="",NA(),MATCH($B2410&amp;$C2410,'Smelter Look-up'!$J:$J,0))</f>
        <v>#N/A</v>
      </c>
      <c r="X2410" s="170">
        <f t="shared" ca="1" si="188"/>
        <v>0</v>
      </c>
      <c r="AB2410" s="313" t="str">
        <f t="shared" si="190"/>
        <v/>
      </c>
      <c r="AC2410" s="170" t="str">
        <f t="shared" si="191"/>
        <v/>
      </c>
      <c r="AD2410" s="170" t="str">
        <f t="shared" si="192"/>
        <v/>
      </c>
    </row>
    <row r="2411" spans="1:30" s="170" customFormat="1" ht="20.399999999999999">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89"/>
        <v/>
      </c>
      <c r="T2411" s="155" t="str">
        <f ca="1">IF(B2411="","",IF(ISERROR(MATCH($J2411,SorP!$B$1:$B$6226,0)),"",INDIRECT("'SorP'!$A$"&amp;MATCH($S2411&amp;$J2411,SorP!C:C,0))))</f>
        <v/>
      </c>
      <c r="U2411" s="168"/>
      <c r="V2411" s="169" t="e">
        <f>IF(C2411="",NA(),MATCH($B2411&amp;$C2411,'Smelter Look-up'!$J:$J,0))</f>
        <v>#N/A</v>
      </c>
      <c r="X2411" s="170">
        <f t="shared" ca="1" si="188"/>
        <v>0</v>
      </c>
      <c r="AB2411" s="313" t="str">
        <f t="shared" si="190"/>
        <v/>
      </c>
      <c r="AC2411" s="170" t="str">
        <f t="shared" si="191"/>
        <v/>
      </c>
      <c r="AD2411" s="170" t="str">
        <f t="shared" si="192"/>
        <v/>
      </c>
    </row>
    <row r="2412" spans="1:30" s="170" customFormat="1" ht="20.399999999999999">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89"/>
        <v/>
      </c>
      <c r="T2412" s="155" t="str">
        <f ca="1">IF(B2412="","",IF(ISERROR(MATCH($J2412,SorP!$B$1:$B$6226,0)),"",INDIRECT("'SorP'!$A$"&amp;MATCH($S2412&amp;$J2412,SorP!C:C,0))))</f>
        <v/>
      </c>
      <c r="U2412" s="168"/>
      <c r="V2412" s="169" t="e">
        <f>IF(C2412="",NA(),MATCH($B2412&amp;$C2412,'Smelter Look-up'!$J:$J,0))</f>
        <v>#N/A</v>
      </c>
      <c r="X2412" s="170">
        <f t="shared" ca="1" si="188"/>
        <v>0</v>
      </c>
      <c r="AB2412" s="313" t="str">
        <f t="shared" si="190"/>
        <v/>
      </c>
      <c r="AC2412" s="170" t="str">
        <f t="shared" si="191"/>
        <v/>
      </c>
      <c r="AD2412" s="170" t="str">
        <f t="shared" si="192"/>
        <v/>
      </c>
    </row>
    <row r="2413" spans="1:30" s="170" customFormat="1" ht="20.399999999999999">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89"/>
        <v/>
      </c>
      <c r="T2413" s="155" t="str">
        <f ca="1">IF(B2413="","",IF(ISERROR(MATCH($J2413,SorP!$B$1:$B$6226,0)),"",INDIRECT("'SorP'!$A$"&amp;MATCH($S2413&amp;$J2413,SorP!C:C,0))))</f>
        <v/>
      </c>
      <c r="U2413" s="168"/>
      <c r="V2413" s="169" t="e">
        <f>IF(C2413="",NA(),MATCH($B2413&amp;$C2413,'Smelter Look-up'!$J:$J,0))</f>
        <v>#N/A</v>
      </c>
      <c r="X2413" s="170">
        <f t="shared" ca="1" si="188"/>
        <v>0</v>
      </c>
      <c r="AB2413" s="313" t="str">
        <f t="shared" si="190"/>
        <v/>
      </c>
      <c r="AC2413" s="170" t="str">
        <f t="shared" si="191"/>
        <v/>
      </c>
      <c r="AD2413" s="170" t="str">
        <f t="shared" si="192"/>
        <v/>
      </c>
    </row>
    <row r="2414" spans="1:30" s="170" customFormat="1" ht="20.399999999999999">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89"/>
        <v/>
      </c>
      <c r="T2414" s="155" t="str">
        <f ca="1">IF(B2414="","",IF(ISERROR(MATCH($J2414,SorP!$B$1:$B$6226,0)),"",INDIRECT("'SorP'!$A$"&amp;MATCH($S2414&amp;$J2414,SorP!C:C,0))))</f>
        <v/>
      </c>
      <c r="U2414" s="168"/>
      <c r="V2414" s="169" t="e">
        <f>IF(C2414="",NA(),MATCH($B2414&amp;$C2414,'Smelter Look-up'!$J:$J,0))</f>
        <v>#N/A</v>
      </c>
      <c r="X2414" s="170">
        <f t="shared" ca="1" si="188"/>
        <v>0</v>
      </c>
      <c r="AB2414" s="313" t="str">
        <f t="shared" si="190"/>
        <v/>
      </c>
      <c r="AC2414" s="170" t="str">
        <f t="shared" si="191"/>
        <v/>
      </c>
      <c r="AD2414" s="170" t="str">
        <f t="shared" si="192"/>
        <v/>
      </c>
    </row>
    <row r="2415" spans="1:30" s="170" customFormat="1" ht="20.399999999999999">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89"/>
        <v/>
      </c>
      <c r="T2415" s="155" t="str">
        <f ca="1">IF(B2415="","",IF(ISERROR(MATCH($J2415,SorP!$B$1:$B$6226,0)),"",INDIRECT("'SorP'!$A$"&amp;MATCH($S2415&amp;$J2415,SorP!C:C,0))))</f>
        <v/>
      </c>
      <c r="U2415" s="168"/>
      <c r="V2415" s="169" t="e">
        <f>IF(C2415="",NA(),MATCH($B2415&amp;$C2415,'Smelter Look-up'!$J:$J,0))</f>
        <v>#N/A</v>
      </c>
      <c r="X2415" s="170">
        <f t="shared" ca="1" si="188"/>
        <v>0</v>
      </c>
      <c r="AB2415" s="313" t="str">
        <f t="shared" si="190"/>
        <v/>
      </c>
      <c r="AC2415" s="170" t="str">
        <f t="shared" si="191"/>
        <v/>
      </c>
      <c r="AD2415" s="170" t="str">
        <f t="shared" si="192"/>
        <v/>
      </c>
    </row>
    <row r="2416" spans="1:30" s="170" customFormat="1" ht="20.399999999999999">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89"/>
        <v/>
      </c>
      <c r="T2416" s="155" t="str">
        <f ca="1">IF(B2416="","",IF(ISERROR(MATCH($J2416,SorP!$B$1:$B$6226,0)),"",INDIRECT("'SorP'!$A$"&amp;MATCH($S2416&amp;$J2416,SorP!C:C,0))))</f>
        <v/>
      </c>
      <c r="U2416" s="168"/>
      <c r="V2416" s="169" t="e">
        <f>IF(C2416="",NA(),MATCH($B2416&amp;$C2416,'Smelter Look-up'!$J:$J,0))</f>
        <v>#N/A</v>
      </c>
      <c r="X2416" s="170">
        <f t="shared" ca="1" si="188"/>
        <v>0</v>
      </c>
      <c r="AB2416" s="313" t="str">
        <f t="shared" si="190"/>
        <v/>
      </c>
      <c r="AC2416" s="170" t="str">
        <f t="shared" si="191"/>
        <v/>
      </c>
      <c r="AD2416" s="170" t="str">
        <f t="shared" si="192"/>
        <v/>
      </c>
    </row>
    <row r="2417" spans="1:30" s="170" customFormat="1" ht="20.399999999999999">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89"/>
        <v/>
      </c>
      <c r="T2417" s="155" t="str">
        <f ca="1">IF(B2417="","",IF(ISERROR(MATCH($J2417,SorP!$B$1:$B$6226,0)),"",INDIRECT("'SorP'!$A$"&amp;MATCH($S2417&amp;$J2417,SorP!C:C,0))))</f>
        <v/>
      </c>
      <c r="U2417" s="168"/>
      <c r="V2417" s="169" t="e">
        <f>IF(C2417="",NA(),MATCH($B2417&amp;$C2417,'Smelter Look-up'!$J:$J,0))</f>
        <v>#N/A</v>
      </c>
      <c r="X2417" s="170">
        <f t="shared" ca="1" si="188"/>
        <v>0</v>
      </c>
      <c r="AB2417" s="313" t="str">
        <f t="shared" si="190"/>
        <v/>
      </c>
      <c r="AC2417" s="170" t="str">
        <f t="shared" si="191"/>
        <v/>
      </c>
      <c r="AD2417" s="170" t="str">
        <f t="shared" si="192"/>
        <v/>
      </c>
    </row>
    <row r="2418" spans="1:30" s="170" customFormat="1" ht="20.399999999999999">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89"/>
        <v/>
      </c>
      <c r="T2418" s="155" t="str">
        <f ca="1">IF(B2418="","",IF(ISERROR(MATCH($J2418,SorP!$B$1:$B$6226,0)),"",INDIRECT("'SorP'!$A$"&amp;MATCH($S2418&amp;$J2418,SorP!C:C,0))))</f>
        <v/>
      </c>
      <c r="U2418" s="168"/>
      <c r="V2418" s="169" t="e">
        <f>IF(C2418="",NA(),MATCH($B2418&amp;$C2418,'Smelter Look-up'!$J:$J,0))</f>
        <v>#N/A</v>
      </c>
      <c r="X2418" s="170">
        <f t="shared" ca="1" si="188"/>
        <v>0</v>
      </c>
      <c r="AB2418" s="313" t="str">
        <f t="shared" si="190"/>
        <v/>
      </c>
      <c r="AC2418" s="170" t="str">
        <f t="shared" si="191"/>
        <v/>
      </c>
      <c r="AD2418" s="170" t="str">
        <f t="shared" si="192"/>
        <v/>
      </c>
    </row>
    <row r="2419" spans="1:30" s="170" customFormat="1" ht="20.399999999999999">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89"/>
        <v/>
      </c>
      <c r="T2419" s="155" t="str">
        <f ca="1">IF(B2419="","",IF(ISERROR(MATCH($J2419,SorP!$B$1:$B$6226,0)),"",INDIRECT("'SorP'!$A$"&amp;MATCH($S2419&amp;$J2419,SorP!C:C,0))))</f>
        <v/>
      </c>
      <c r="U2419" s="168"/>
      <c r="V2419" s="169" t="e">
        <f>IF(C2419="",NA(),MATCH($B2419&amp;$C2419,'Smelter Look-up'!$J:$J,0))</f>
        <v>#N/A</v>
      </c>
      <c r="X2419" s="170">
        <f t="shared" ca="1" si="188"/>
        <v>0</v>
      </c>
      <c r="AB2419" s="313" t="str">
        <f t="shared" si="190"/>
        <v/>
      </c>
      <c r="AC2419" s="170" t="str">
        <f t="shared" si="191"/>
        <v/>
      </c>
      <c r="AD2419" s="170" t="str">
        <f t="shared" si="192"/>
        <v/>
      </c>
    </row>
    <row r="2420" spans="1:30" s="170" customFormat="1" ht="20.399999999999999">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89"/>
        <v/>
      </c>
      <c r="T2420" s="155" t="str">
        <f ca="1">IF(B2420="","",IF(ISERROR(MATCH($J2420,SorP!$B$1:$B$6226,0)),"",INDIRECT("'SorP'!$A$"&amp;MATCH($S2420&amp;$J2420,SorP!C:C,0))))</f>
        <v/>
      </c>
      <c r="U2420" s="168"/>
      <c r="V2420" s="169" t="e">
        <f>IF(C2420="",NA(),MATCH($B2420&amp;$C2420,'Smelter Look-up'!$J:$J,0))</f>
        <v>#N/A</v>
      </c>
      <c r="X2420" s="170">
        <f t="shared" ca="1" si="188"/>
        <v>0</v>
      </c>
      <c r="AB2420" s="313" t="str">
        <f t="shared" si="190"/>
        <v/>
      </c>
      <c r="AC2420" s="170" t="str">
        <f t="shared" si="191"/>
        <v/>
      </c>
      <c r="AD2420" s="170" t="str">
        <f t="shared" si="192"/>
        <v/>
      </c>
    </row>
    <row r="2421" spans="1:30" s="170" customFormat="1" ht="20.399999999999999">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89"/>
        <v/>
      </c>
      <c r="T2421" s="155" t="str">
        <f ca="1">IF(B2421="","",IF(ISERROR(MATCH($J2421,SorP!$B$1:$B$6226,0)),"",INDIRECT("'SorP'!$A$"&amp;MATCH($S2421&amp;$J2421,SorP!C:C,0))))</f>
        <v/>
      </c>
      <c r="U2421" s="168"/>
      <c r="V2421" s="169" t="e">
        <f>IF(C2421="",NA(),MATCH($B2421&amp;$C2421,'Smelter Look-up'!$J:$J,0))</f>
        <v>#N/A</v>
      </c>
      <c r="X2421" s="170">
        <f t="shared" ca="1" si="188"/>
        <v>0</v>
      </c>
      <c r="AB2421" s="313" t="str">
        <f t="shared" si="190"/>
        <v/>
      </c>
      <c r="AC2421" s="170" t="str">
        <f t="shared" si="191"/>
        <v/>
      </c>
      <c r="AD2421" s="170" t="str">
        <f t="shared" si="192"/>
        <v/>
      </c>
    </row>
    <row r="2422" spans="1:30" s="170" customFormat="1" ht="20.399999999999999">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89"/>
        <v/>
      </c>
      <c r="T2422" s="155" t="str">
        <f ca="1">IF(B2422="","",IF(ISERROR(MATCH($J2422,SorP!$B$1:$B$6226,0)),"",INDIRECT("'SorP'!$A$"&amp;MATCH($S2422&amp;$J2422,SorP!C:C,0))))</f>
        <v/>
      </c>
      <c r="U2422" s="168"/>
      <c r="V2422" s="169" t="e">
        <f>IF(C2422="",NA(),MATCH($B2422&amp;$C2422,'Smelter Look-up'!$J:$J,0))</f>
        <v>#N/A</v>
      </c>
      <c r="X2422" s="170">
        <f t="shared" ca="1" si="188"/>
        <v>0</v>
      </c>
      <c r="AB2422" s="313" t="str">
        <f t="shared" si="190"/>
        <v/>
      </c>
      <c r="AC2422" s="170" t="str">
        <f t="shared" si="191"/>
        <v/>
      </c>
      <c r="AD2422" s="170" t="str">
        <f t="shared" si="192"/>
        <v/>
      </c>
    </row>
    <row r="2423" spans="1:30" s="170" customFormat="1" ht="20.399999999999999">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89"/>
        <v/>
      </c>
      <c r="T2423" s="155" t="str">
        <f ca="1">IF(B2423="","",IF(ISERROR(MATCH($J2423,SorP!$B$1:$B$6226,0)),"",INDIRECT("'SorP'!$A$"&amp;MATCH($S2423&amp;$J2423,SorP!C:C,0))))</f>
        <v/>
      </c>
      <c r="U2423" s="168"/>
      <c r="V2423" s="169" t="e">
        <f>IF(C2423="",NA(),MATCH($B2423&amp;$C2423,'Smelter Look-up'!$J:$J,0))</f>
        <v>#N/A</v>
      </c>
      <c r="X2423" s="170">
        <f t="shared" ca="1" si="188"/>
        <v>0</v>
      </c>
      <c r="AB2423" s="313" t="str">
        <f t="shared" si="190"/>
        <v/>
      </c>
      <c r="AC2423" s="170" t="str">
        <f t="shared" si="191"/>
        <v/>
      </c>
      <c r="AD2423" s="170" t="str">
        <f t="shared" si="192"/>
        <v/>
      </c>
    </row>
    <row r="2424" spans="1:30" s="170" customFormat="1" ht="20.399999999999999">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89"/>
        <v/>
      </c>
      <c r="T2424" s="155" t="str">
        <f ca="1">IF(B2424="","",IF(ISERROR(MATCH($J2424,SorP!$B$1:$B$6226,0)),"",INDIRECT("'SorP'!$A$"&amp;MATCH($S2424&amp;$J2424,SorP!C:C,0))))</f>
        <v/>
      </c>
      <c r="U2424" s="168"/>
      <c r="V2424" s="169" t="e">
        <f>IF(C2424="",NA(),MATCH($B2424&amp;$C2424,'Smelter Look-up'!$J:$J,0))</f>
        <v>#N/A</v>
      </c>
      <c r="X2424" s="170">
        <f t="shared" ca="1" si="188"/>
        <v>0</v>
      </c>
      <c r="AB2424" s="313" t="str">
        <f t="shared" si="190"/>
        <v/>
      </c>
      <c r="AC2424" s="170" t="str">
        <f t="shared" si="191"/>
        <v/>
      </c>
      <c r="AD2424" s="170" t="str">
        <f t="shared" si="192"/>
        <v/>
      </c>
    </row>
    <row r="2425" spans="1:30" s="170" customFormat="1" ht="20.399999999999999">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89"/>
        <v/>
      </c>
      <c r="T2425" s="155" t="str">
        <f ca="1">IF(B2425="","",IF(ISERROR(MATCH($J2425,SorP!$B$1:$B$6226,0)),"",INDIRECT("'SorP'!$A$"&amp;MATCH($S2425&amp;$J2425,SorP!C:C,0))))</f>
        <v/>
      </c>
      <c r="U2425" s="168"/>
      <c r="V2425" s="169" t="e">
        <f>IF(C2425="",NA(),MATCH($B2425&amp;$C2425,'Smelter Look-up'!$J:$J,0))</f>
        <v>#N/A</v>
      </c>
      <c r="X2425" s="170">
        <f t="shared" ca="1" si="188"/>
        <v>0</v>
      </c>
      <c r="AB2425" s="313" t="str">
        <f t="shared" si="190"/>
        <v/>
      </c>
      <c r="AC2425" s="170" t="str">
        <f t="shared" si="191"/>
        <v/>
      </c>
      <c r="AD2425" s="170" t="str">
        <f t="shared" si="192"/>
        <v/>
      </c>
    </row>
    <row r="2426" spans="1:30" s="170" customFormat="1" ht="20.399999999999999">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89"/>
        <v/>
      </c>
      <c r="T2426" s="155" t="str">
        <f ca="1">IF(B2426="","",IF(ISERROR(MATCH($J2426,SorP!$B$1:$B$6226,0)),"",INDIRECT("'SorP'!$A$"&amp;MATCH($S2426&amp;$J2426,SorP!C:C,0))))</f>
        <v/>
      </c>
      <c r="U2426" s="168"/>
      <c r="V2426" s="169" t="e">
        <f>IF(C2426="",NA(),MATCH($B2426&amp;$C2426,'Smelter Look-up'!$J:$J,0))</f>
        <v>#N/A</v>
      </c>
      <c r="X2426" s="170">
        <f t="shared" ca="1" si="188"/>
        <v>0</v>
      </c>
      <c r="AB2426" s="313" t="str">
        <f t="shared" si="190"/>
        <v/>
      </c>
      <c r="AC2426" s="170" t="str">
        <f t="shared" si="191"/>
        <v/>
      </c>
      <c r="AD2426" s="170" t="str">
        <f t="shared" si="192"/>
        <v/>
      </c>
    </row>
    <row r="2427" spans="1:30" s="170" customFormat="1" ht="20.399999999999999">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89"/>
        <v/>
      </c>
      <c r="T2427" s="155" t="str">
        <f ca="1">IF(B2427="","",IF(ISERROR(MATCH($J2427,SorP!$B$1:$B$6226,0)),"",INDIRECT("'SorP'!$A$"&amp;MATCH($S2427&amp;$J2427,SorP!C:C,0))))</f>
        <v/>
      </c>
      <c r="U2427" s="168"/>
      <c r="V2427" s="169" t="e">
        <f>IF(C2427="",NA(),MATCH($B2427&amp;$C2427,'Smelter Look-up'!$J:$J,0))</f>
        <v>#N/A</v>
      </c>
      <c r="X2427" s="170">
        <f t="shared" ca="1" si="188"/>
        <v>0</v>
      </c>
      <c r="AB2427" s="313" t="str">
        <f t="shared" si="190"/>
        <v/>
      </c>
      <c r="AC2427" s="170" t="str">
        <f t="shared" si="191"/>
        <v/>
      </c>
      <c r="AD2427" s="170" t="str">
        <f t="shared" si="192"/>
        <v/>
      </c>
    </row>
    <row r="2428" spans="1:30" s="170" customFormat="1" ht="20.399999999999999">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89"/>
        <v/>
      </c>
      <c r="T2428" s="155" t="str">
        <f ca="1">IF(B2428="","",IF(ISERROR(MATCH($J2428,SorP!$B$1:$B$6226,0)),"",INDIRECT("'SorP'!$A$"&amp;MATCH($S2428&amp;$J2428,SorP!C:C,0))))</f>
        <v/>
      </c>
      <c r="U2428" s="168"/>
      <c r="V2428" s="169" t="e">
        <f>IF(C2428="",NA(),MATCH($B2428&amp;$C2428,'Smelter Look-up'!$J:$J,0))</f>
        <v>#N/A</v>
      </c>
      <c r="X2428" s="170">
        <f t="shared" ca="1" si="188"/>
        <v>0</v>
      </c>
      <c r="AB2428" s="313" t="str">
        <f t="shared" si="190"/>
        <v/>
      </c>
      <c r="AC2428" s="170" t="str">
        <f t="shared" si="191"/>
        <v/>
      </c>
      <c r="AD2428" s="170" t="str">
        <f t="shared" si="192"/>
        <v/>
      </c>
    </row>
    <row r="2429" spans="1:30" s="170" customFormat="1" ht="20.399999999999999">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89"/>
        <v/>
      </c>
      <c r="T2429" s="155" t="str">
        <f ca="1">IF(B2429="","",IF(ISERROR(MATCH($J2429,SorP!$B$1:$B$6226,0)),"",INDIRECT("'SorP'!$A$"&amp;MATCH($S2429&amp;$J2429,SorP!C:C,0))))</f>
        <v/>
      </c>
      <c r="U2429" s="168"/>
      <c r="V2429" s="169" t="e">
        <f>IF(C2429="",NA(),MATCH($B2429&amp;$C2429,'Smelter Look-up'!$J:$J,0))</f>
        <v>#N/A</v>
      </c>
      <c r="X2429" s="170">
        <f t="shared" ca="1" si="188"/>
        <v>0</v>
      </c>
      <c r="AB2429" s="313" t="str">
        <f t="shared" si="190"/>
        <v/>
      </c>
      <c r="AC2429" s="170" t="str">
        <f t="shared" si="191"/>
        <v/>
      </c>
      <c r="AD2429" s="170" t="str">
        <f t="shared" si="192"/>
        <v/>
      </c>
    </row>
    <row r="2430" spans="1:30" s="170" customFormat="1" ht="20.399999999999999">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89"/>
        <v/>
      </c>
      <c r="T2430" s="155" t="str">
        <f ca="1">IF(B2430="","",IF(ISERROR(MATCH($J2430,SorP!$B$1:$B$6226,0)),"",INDIRECT("'SorP'!$A$"&amp;MATCH($S2430&amp;$J2430,SorP!C:C,0))))</f>
        <v/>
      </c>
      <c r="U2430" s="168"/>
      <c r="V2430" s="169" t="e">
        <f>IF(C2430="",NA(),MATCH($B2430&amp;$C2430,'Smelter Look-up'!$J:$J,0))</f>
        <v>#N/A</v>
      </c>
      <c r="X2430" s="170">
        <f t="shared" ca="1" si="188"/>
        <v>0</v>
      </c>
      <c r="AB2430" s="313" t="str">
        <f t="shared" si="190"/>
        <v/>
      </c>
      <c r="AC2430" s="170" t="str">
        <f t="shared" si="191"/>
        <v/>
      </c>
      <c r="AD2430" s="170" t="str">
        <f t="shared" si="192"/>
        <v/>
      </c>
    </row>
    <row r="2431" spans="1:30" s="170" customFormat="1" ht="20.399999999999999">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89"/>
        <v/>
      </c>
      <c r="T2431" s="155" t="str">
        <f ca="1">IF(B2431="","",IF(ISERROR(MATCH($J2431,SorP!$B$1:$B$6226,0)),"",INDIRECT("'SorP'!$A$"&amp;MATCH($S2431&amp;$J2431,SorP!C:C,0))))</f>
        <v/>
      </c>
      <c r="U2431" s="168"/>
      <c r="V2431" s="169" t="e">
        <f>IF(C2431="",NA(),MATCH($B2431&amp;$C2431,'Smelter Look-up'!$J:$J,0))</f>
        <v>#N/A</v>
      </c>
      <c r="X2431" s="170">
        <f t="shared" ref="X2431:X2494" ca="1" si="193">IF(AND(C2431="Smelter not listed",OR(LEN(D2431)=0,LEN(E2431)=0)),1,0)</f>
        <v>0</v>
      </c>
      <c r="AB2431" s="313" t="str">
        <f t="shared" si="190"/>
        <v/>
      </c>
      <c r="AC2431" s="170" t="str">
        <f t="shared" si="191"/>
        <v/>
      </c>
      <c r="AD2431" s="170" t="str">
        <f t="shared" si="192"/>
        <v/>
      </c>
    </row>
    <row r="2432" spans="1:30" s="170" customFormat="1" ht="20.399999999999999">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ref="S2432:S2497" ca="1" si="194">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93"/>
        <v>0</v>
      </c>
      <c r="AB2432" s="313" t="str">
        <f t="shared" si="190"/>
        <v/>
      </c>
      <c r="AC2432" s="170" t="str">
        <f t="shared" si="191"/>
        <v/>
      </c>
      <c r="AD2432" s="170" t="str">
        <f t="shared" si="192"/>
        <v/>
      </c>
    </row>
    <row r="2433" spans="1:30" s="170" customFormat="1" ht="20.399999999999999">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94"/>
        <v/>
      </c>
      <c r="T2433" s="155" t="str">
        <f ca="1">IF(B2433="","",IF(ISERROR(MATCH($J2433,SorP!$B$1:$B$6226,0)),"",INDIRECT("'SorP'!$A$"&amp;MATCH($S2433&amp;$J2433,SorP!C:C,0))))</f>
        <v/>
      </c>
      <c r="U2433" s="168"/>
      <c r="V2433" s="169" t="e">
        <f>IF(C2433="",NA(),MATCH($B2433&amp;$C2433,'Smelter Look-up'!$J:$J,0))</f>
        <v>#N/A</v>
      </c>
      <c r="X2433" s="170">
        <f t="shared" ca="1" si="193"/>
        <v>0</v>
      </c>
      <c r="AB2433" s="313" t="str">
        <f t="shared" si="190"/>
        <v/>
      </c>
      <c r="AC2433" s="170" t="str">
        <f t="shared" si="191"/>
        <v/>
      </c>
      <c r="AD2433" s="170" t="str">
        <f t="shared" si="192"/>
        <v/>
      </c>
    </row>
    <row r="2434" spans="1:30" s="170" customFormat="1" ht="20.399999999999999">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94"/>
        <v/>
      </c>
      <c r="T2434" s="155" t="str">
        <f ca="1">IF(B2434="","",IF(ISERROR(MATCH($J2434,SorP!$B$1:$B$6226,0)),"",INDIRECT("'SorP'!$A$"&amp;MATCH($S2434&amp;$J2434,SorP!C:C,0))))</f>
        <v/>
      </c>
      <c r="U2434" s="168"/>
      <c r="V2434" s="169" t="e">
        <f>IF(C2434="",NA(),MATCH($B2434&amp;$C2434,'Smelter Look-up'!$J:$J,0))</f>
        <v>#N/A</v>
      </c>
      <c r="X2434" s="170">
        <f t="shared" ca="1" si="193"/>
        <v>0</v>
      </c>
      <c r="AB2434" s="313" t="str">
        <f t="shared" si="190"/>
        <v/>
      </c>
      <c r="AC2434" s="170" t="str">
        <f t="shared" si="191"/>
        <v/>
      </c>
      <c r="AD2434" s="170" t="str">
        <f t="shared" si="192"/>
        <v/>
      </c>
    </row>
    <row r="2435" spans="1:30" s="170" customFormat="1" ht="20.399999999999999">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94"/>
        <v/>
      </c>
      <c r="T2435" s="155" t="str">
        <f ca="1">IF(B2435="","",IF(ISERROR(MATCH($J2435,SorP!$B$1:$B$6226,0)),"",INDIRECT("'SorP'!$A$"&amp;MATCH($S2435&amp;$J2435,SorP!C:C,0))))</f>
        <v/>
      </c>
      <c r="U2435" s="168"/>
      <c r="V2435" s="169" t="e">
        <f>IF(C2435="",NA(),MATCH($B2435&amp;$C2435,'Smelter Look-up'!$J:$J,0))</f>
        <v>#N/A</v>
      </c>
      <c r="X2435" s="170">
        <f t="shared" ca="1" si="193"/>
        <v>0</v>
      </c>
      <c r="AB2435" s="313" t="str">
        <f t="shared" si="190"/>
        <v/>
      </c>
      <c r="AC2435" s="170" t="str">
        <f t="shared" si="191"/>
        <v/>
      </c>
      <c r="AD2435" s="170" t="str">
        <f t="shared" si="192"/>
        <v/>
      </c>
    </row>
    <row r="2436" spans="1:30" s="170" customFormat="1" ht="20.399999999999999">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94"/>
        <v/>
      </c>
      <c r="T2436" s="155" t="str">
        <f ca="1">IF(B2436="","",IF(ISERROR(MATCH($J2436,SorP!$B$1:$B$6226,0)),"",INDIRECT("'SorP'!$A$"&amp;MATCH($S2436&amp;$J2436,SorP!C:C,0))))</f>
        <v/>
      </c>
      <c r="U2436" s="168"/>
      <c r="V2436" s="169" t="e">
        <f>IF(C2436="",NA(),MATCH($B2436&amp;$C2436,'Smelter Look-up'!$J:$J,0))</f>
        <v>#N/A</v>
      </c>
      <c r="X2436" s="170">
        <f t="shared" ca="1" si="193"/>
        <v>0</v>
      </c>
      <c r="AB2436" s="313" t="str">
        <f t="shared" si="190"/>
        <v/>
      </c>
      <c r="AC2436" s="170" t="str">
        <f t="shared" si="191"/>
        <v/>
      </c>
      <c r="AD2436" s="170" t="str">
        <f t="shared" si="192"/>
        <v/>
      </c>
    </row>
    <row r="2437" spans="1:30" s="170" customFormat="1" ht="20.399999999999999">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94"/>
        <v/>
      </c>
      <c r="T2437" s="155" t="str">
        <f ca="1">IF(B2437="","",IF(ISERROR(MATCH($J2437,SorP!$B$1:$B$6226,0)),"",INDIRECT("'SorP'!$A$"&amp;MATCH($S2437&amp;$J2437,SorP!C:C,0))))</f>
        <v/>
      </c>
      <c r="U2437" s="168"/>
      <c r="V2437" s="169" t="e">
        <f>IF(C2437="",NA(),MATCH($B2437&amp;$C2437,'Smelter Look-up'!$J:$J,0))</f>
        <v>#N/A</v>
      </c>
      <c r="X2437" s="170">
        <f t="shared" ca="1" si="193"/>
        <v>0</v>
      </c>
      <c r="AB2437" s="313" t="str">
        <f t="shared" si="190"/>
        <v/>
      </c>
      <c r="AC2437" s="170" t="str">
        <f t="shared" si="191"/>
        <v/>
      </c>
      <c r="AD2437" s="170" t="str">
        <f t="shared" si="192"/>
        <v/>
      </c>
    </row>
    <row r="2438" spans="1:30" s="170" customFormat="1" ht="20.399999999999999">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94"/>
        <v/>
      </c>
      <c r="T2438" s="155" t="str">
        <f ca="1">IF(B2438="","",IF(ISERROR(MATCH($J2438,SorP!$B$1:$B$6226,0)),"",INDIRECT("'SorP'!$A$"&amp;MATCH($S2438&amp;$J2438,SorP!C:C,0))))</f>
        <v/>
      </c>
      <c r="U2438" s="168"/>
      <c r="V2438" s="169" t="e">
        <f>IF(C2438="",NA(),MATCH($B2438&amp;$C2438,'Smelter Look-up'!$J:$J,0))</f>
        <v>#N/A</v>
      </c>
      <c r="X2438" s="170">
        <f t="shared" ca="1" si="193"/>
        <v>0</v>
      </c>
      <c r="AB2438" s="313" t="str">
        <f t="shared" ref="AB2438:AB2504" si="195">IF(C2438="","",B2438)</f>
        <v/>
      </c>
      <c r="AC2438" s="170" t="str">
        <f t="shared" ref="AC2438:AC2501" si="196">B2438</f>
        <v/>
      </c>
      <c r="AD2438" s="170" t="str">
        <f t="shared" ref="AD2438:AD2501" si="197">IF(C2438="Smelter not listed",D2438,C2438)</f>
        <v/>
      </c>
    </row>
    <row r="2439" spans="1:30" s="170" customFormat="1" ht="20.399999999999999">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94"/>
        <v/>
      </c>
      <c r="T2439" s="155" t="str">
        <f ca="1">IF(B2439="","",IF(ISERROR(MATCH($J2439,SorP!$B$1:$B$6226,0)),"",INDIRECT("'SorP'!$A$"&amp;MATCH($S2439&amp;$J2439,SorP!C:C,0))))</f>
        <v/>
      </c>
      <c r="U2439" s="168"/>
      <c r="V2439" s="169" t="e">
        <f>IF(C2439="",NA(),MATCH($B2439&amp;$C2439,'Smelter Look-up'!$J:$J,0))</f>
        <v>#N/A</v>
      </c>
      <c r="X2439" s="170">
        <f t="shared" ca="1" si="193"/>
        <v>0</v>
      </c>
      <c r="AB2439" s="313" t="str">
        <f t="shared" si="195"/>
        <v/>
      </c>
      <c r="AC2439" s="170" t="str">
        <f t="shared" si="196"/>
        <v/>
      </c>
      <c r="AD2439" s="170" t="str">
        <f t="shared" si="197"/>
        <v/>
      </c>
    </row>
    <row r="2440" spans="1:30" s="170" customFormat="1" ht="20.399999999999999">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94"/>
        <v/>
      </c>
      <c r="T2440" s="155" t="str">
        <f ca="1">IF(B2440="","",IF(ISERROR(MATCH($J2440,SorP!$B$1:$B$6226,0)),"",INDIRECT("'SorP'!$A$"&amp;MATCH($S2440&amp;$J2440,SorP!C:C,0))))</f>
        <v/>
      </c>
      <c r="U2440" s="168"/>
      <c r="V2440" s="169" t="e">
        <f>IF(C2440="",NA(),MATCH($B2440&amp;$C2440,'Smelter Look-up'!$J:$J,0))</f>
        <v>#N/A</v>
      </c>
      <c r="X2440" s="170">
        <f t="shared" ca="1" si="193"/>
        <v>0</v>
      </c>
      <c r="AB2440" s="313" t="str">
        <f t="shared" si="195"/>
        <v/>
      </c>
      <c r="AC2440" s="170" t="str">
        <f t="shared" si="196"/>
        <v/>
      </c>
      <c r="AD2440" s="170" t="str">
        <f t="shared" si="197"/>
        <v/>
      </c>
    </row>
    <row r="2441" spans="1:30" s="170" customFormat="1" ht="20.399999999999999">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94"/>
        <v/>
      </c>
      <c r="T2441" s="155" t="str">
        <f ca="1">IF(B2441="","",IF(ISERROR(MATCH($J2441,SorP!$B$1:$B$6226,0)),"",INDIRECT("'SorP'!$A$"&amp;MATCH($S2441&amp;$J2441,SorP!C:C,0))))</f>
        <v/>
      </c>
      <c r="U2441" s="168"/>
      <c r="V2441" s="169" t="e">
        <f>IF(C2441="",NA(),MATCH($B2441&amp;$C2441,'Smelter Look-up'!$J:$J,0))</f>
        <v>#N/A</v>
      </c>
      <c r="X2441" s="170">
        <f t="shared" ca="1" si="193"/>
        <v>0</v>
      </c>
      <c r="AB2441" s="313" t="str">
        <f t="shared" si="195"/>
        <v/>
      </c>
      <c r="AC2441" s="170" t="str">
        <f t="shared" si="196"/>
        <v/>
      </c>
      <c r="AD2441" s="170" t="str">
        <f t="shared" si="197"/>
        <v/>
      </c>
    </row>
    <row r="2442" spans="1:30" s="170" customFormat="1" ht="20.399999999999999">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94"/>
        <v/>
      </c>
      <c r="T2442" s="155" t="str">
        <f ca="1">IF(B2442="","",IF(ISERROR(MATCH($J2442,SorP!$B$1:$B$6226,0)),"",INDIRECT("'SorP'!$A$"&amp;MATCH($S2442&amp;$J2442,SorP!C:C,0))))</f>
        <v/>
      </c>
      <c r="U2442" s="168"/>
      <c r="V2442" s="169" t="e">
        <f>IF(C2442="",NA(),MATCH($B2442&amp;$C2442,'Smelter Look-up'!$J:$J,0))</f>
        <v>#N/A</v>
      </c>
      <c r="X2442" s="170">
        <f t="shared" ca="1" si="193"/>
        <v>0</v>
      </c>
      <c r="AB2442" s="313" t="str">
        <f t="shared" si="195"/>
        <v/>
      </c>
      <c r="AC2442" s="170" t="str">
        <f t="shared" si="196"/>
        <v/>
      </c>
      <c r="AD2442" s="170" t="str">
        <f t="shared" si="197"/>
        <v/>
      </c>
    </row>
    <row r="2443" spans="1:30" s="170" customFormat="1" ht="20.399999999999999">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94"/>
        <v/>
      </c>
      <c r="T2443" s="155" t="str">
        <f ca="1">IF(B2443="","",IF(ISERROR(MATCH($J2443,SorP!$B$1:$B$6226,0)),"",INDIRECT("'SorP'!$A$"&amp;MATCH($S2443&amp;$J2443,SorP!C:C,0))))</f>
        <v/>
      </c>
      <c r="U2443" s="168"/>
      <c r="V2443" s="169" t="e">
        <f>IF(C2443="",NA(),MATCH($B2443&amp;$C2443,'Smelter Look-up'!$J:$J,0))</f>
        <v>#N/A</v>
      </c>
      <c r="X2443" s="170">
        <f t="shared" ca="1" si="193"/>
        <v>0</v>
      </c>
      <c r="AB2443" s="313" t="str">
        <f t="shared" si="195"/>
        <v/>
      </c>
      <c r="AC2443" s="170" t="str">
        <f t="shared" si="196"/>
        <v/>
      </c>
      <c r="AD2443" s="170" t="str">
        <f t="shared" si="197"/>
        <v/>
      </c>
    </row>
    <row r="2444" spans="1:30" s="170" customFormat="1" ht="20.399999999999999">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94"/>
        <v/>
      </c>
      <c r="T2444" s="155" t="str">
        <f ca="1">IF(B2444="","",IF(ISERROR(MATCH($J2444,SorP!$B$1:$B$6226,0)),"",INDIRECT("'SorP'!$A$"&amp;MATCH($S2444&amp;$J2444,SorP!C:C,0))))</f>
        <v/>
      </c>
      <c r="U2444" s="168"/>
      <c r="V2444" s="169" t="e">
        <f>IF(C2444="",NA(),MATCH($B2444&amp;$C2444,'Smelter Look-up'!$J:$J,0))</f>
        <v>#N/A</v>
      </c>
      <c r="X2444" s="170">
        <f t="shared" ca="1" si="193"/>
        <v>0</v>
      </c>
      <c r="AB2444" s="313" t="str">
        <f t="shared" si="195"/>
        <v/>
      </c>
      <c r="AC2444" s="170" t="str">
        <f t="shared" si="196"/>
        <v/>
      </c>
      <c r="AD2444" s="170" t="str">
        <f t="shared" si="197"/>
        <v/>
      </c>
    </row>
    <row r="2445" spans="1:30" s="170" customFormat="1" ht="20.399999999999999">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94"/>
        <v/>
      </c>
      <c r="T2445" s="155" t="str">
        <f ca="1">IF(B2445="","",IF(ISERROR(MATCH($J2445,SorP!$B$1:$B$6226,0)),"",INDIRECT("'SorP'!$A$"&amp;MATCH($S2445&amp;$J2445,SorP!C:C,0))))</f>
        <v/>
      </c>
      <c r="U2445" s="168"/>
      <c r="V2445" s="169" t="e">
        <f>IF(C2445="",NA(),MATCH($B2445&amp;$C2445,'Smelter Look-up'!$J:$J,0))</f>
        <v>#N/A</v>
      </c>
      <c r="X2445" s="170">
        <f t="shared" ca="1" si="193"/>
        <v>0</v>
      </c>
      <c r="AB2445" s="313" t="str">
        <f t="shared" si="195"/>
        <v/>
      </c>
      <c r="AC2445" s="170" t="str">
        <f t="shared" si="196"/>
        <v/>
      </c>
      <c r="AD2445" s="170" t="str">
        <f t="shared" si="197"/>
        <v/>
      </c>
    </row>
    <row r="2446" spans="1:30" s="170" customFormat="1" ht="20.399999999999999">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94"/>
        <v/>
      </c>
      <c r="T2446" s="155" t="str">
        <f ca="1">IF(B2446="","",IF(ISERROR(MATCH($J2446,SorP!$B$1:$B$6226,0)),"",INDIRECT("'SorP'!$A$"&amp;MATCH($S2446&amp;$J2446,SorP!C:C,0))))</f>
        <v/>
      </c>
      <c r="U2446" s="168"/>
      <c r="V2446" s="169" t="e">
        <f>IF(C2446="",NA(),MATCH($B2446&amp;$C2446,'Smelter Look-up'!$J:$J,0))</f>
        <v>#N/A</v>
      </c>
      <c r="X2446" s="170">
        <f t="shared" ca="1" si="193"/>
        <v>0</v>
      </c>
      <c r="AB2446" s="313" t="str">
        <f t="shared" si="195"/>
        <v/>
      </c>
      <c r="AC2446" s="170" t="str">
        <f t="shared" si="196"/>
        <v/>
      </c>
      <c r="AD2446" s="170" t="str">
        <f t="shared" si="197"/>
        <v/>
      </c>
    </row>
    <row r="2447" spans="1:30" s="170" customFormat="1" ht="20.399999999999999">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94"/>
        <v/>
      </c>
      <c r="T2447" s="155" t="str">
        <f ca="1">IF(B2447="","",IF(ISERROR(MATCH($J2447,SorP!$B$1:$B$6226,0)),"",INDIRECT("'SorP'!$A$"&amp;MATCH($S2447&amp;$J2447,SorP!C:C,0))))</f>
        <v/>
      </c>
      <c r="U2447" s="168"/>
      <c r="V2447" s="169" t="e">
        <f>IF(C2447="",NA(),MATCH($B2447&amp;$C2447,'Smelter Look-up'!$J:$J,0))</f>
        <v>#N/A</v>
      </c>
      <c r="X2447" s="170">
        <f t="shared" ca="1" si="193"/>
        <v>0</v>
      </c>
      <c r="AB2447" s="313" t="str">
        <f t="shared" si="195"/>
        <v/>
      </c>
      <c r="AC2447" s="170" t="str">
        <f t="shared" si="196"/>
        <v/>
      </c>
      <c r="AD2447" s="170" t="str">
        <f t="shared" si="197"/>
        <v/>
      </c>
    </row>
    <row r="2448" spans="1:30" s="170" customFormat="1" ht="20.399999999999999">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94"/>
        <v/>
      </c>
      <c r="T2448" s="155" t="str">
        <f ca="1">IF(B2448="","",IF(ISERROR(MATCH($J2448,SorP!$B$1:$B$6226,0)),"",INDIRECT("'SorP'!$A$"&amp;MATCH($S2448&amp;$J2448,SorP!C:C,0))))</f>
        <v/>
      </c>
      <c r="U2448" s="168"/>
      <c r="V2448" s="169" t="e">
        <f>IF(C2448="",NA(),MATCH($B2448&amp;$C2448,'Smelter Look-up'!$J:$J,0))</f>
        <v>#N/A</v>
      </c>
      <c r="X2448" s="170">
        <f t="shared" ca="1" si="193"/>
        <v>0</v>
      </c>
      <c r="AB2448" s="313" t="str">
        <f t="shared" si="195"/>
        <v/>
      </c>
      <c r="AC2448" s="170" t="str">
        <f t="shared" si="196"/>
        <v/>
      </c>
      <c r="AD2448" s="170" t="str">
        <f t="shared" si="197"/>
        <v/>
      </c>
    </row>
    <row r="2449" spans="1:30" s="170" customFormat="1" ht="20.399999999999999">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94"/>
        <v/>
      </c>
      <c r="T2449" s="155" t="str">
        <f ca="1">IF(B2449="","",IF(ISERROR(MATCH($J2449,SorP!$B$1:$B$6226,0)),"",INDIRECT("'SorP'!$A$"&amp;MATCH($S2449&amp;$J2449,SorP!C:C,0))))</f>
        <v/>
      </c>
      <c r="U2449" s="168"/>
      <c r="V2449" s="169" t="e">
        <f>IF(C2449="",NA(),MATCH($B2449&amp;$C2449,'Smelter Look-up'!$J:$J,0))</f>
        <v>#N/A</v>
      </c>
      <c r="X2449" s="170">
        <f t="shared" ca="1" si="193"/>
        <v>0</v>
      </c>
      <c r="AB2449" s="313" t="str">
        <f t="shared" si="195"/>
        <v/>
      </c>
      <c r="AC2449" s="170" t="str">
        <f t="shared" si="196"/>
        <v/>
      </c>
      <c r="AD2449" s="170" t="str">
        <f t="shared" si="197"/>
        <v/>
      </c>
    </row>
    <row r="2450" spans="1:30" s="170" customFormat="1" ht="20.399999999999999">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94"/>
        <v/>
      </c>
      <c r="T2450" s="155" t="str">
        <f ca="1">IF(B2450="","",IF(ISERROR(MATCH($J2450,SorP!$B$1:$B$6226,0)),"",INDIRECT("'SorP'!$A$"&amp;MATCH($S2450&amp;$J2450,SorP!C:C,0))))</f>
        <v/>
      </c>
      <c r="U2450" s="168"/>
      <c r="V2450" s="169" t="e">
        <f>IF(C2450="",NA(),MATCH($B2450&amp;$C2450,'Smelter Look-up'!$J:$J,0))</f>
        <v>#N/A</v>
      </c>
      <c r="X2450" s="170">
        <f t="shared" ca="1" si="193"/>
        <v>0</v>
      </c>
      <c r="AB2450" s="313" t="str">
        <f t="shared" si="195"/>
        <v/>
      </c>
      <c r="AC2450" s="170" t="str">
        <f t="shared" si="196"/>
        <v/>
      </c>
      <c r="AD2450" s="170" t="str">
        <f t="shared" si="197"/>
        <v/>
      </c>
    </row>
    <row r="2451" spans="1:30" s="170" customFormat="1" ht="20.399999999999999">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94"/>
        <v/>
      </c>
      <c r="T2451" s="155" t="str">
        <f ca="1">IF(B2451="","",IF(ISERROR(MATCH($J2451,SorP!$B$1:$B$6226,0)),"",INDIRECT("'SorP'!$A$"&amp;MATCH($S2451&amp;$J2451,SorP!C:C,0))))</f>
        <v/>
      </c>
      <c r="U2451" s="168"/>
      <c r="V2451" s="169" t="e">
        <f>IF(C2451="",NA(),MATCH($B2451&amp;$C2451,'Smelter Look-up'!$J:$J,0))</f>
        <v>#N/A</v>
      </c>
      <c r="X2451" s="170">
        <f t="shared" ca="1" si="193"/>
        <v>0</v>
      </c>
      <c r="AB2451" s="313" t="str">
        <f t="shared" si="195"/>
        <v/>
      </c>
      <c r="AC2451" s="170" t="str">
        <f t="shared" si="196"/>
        <v/>
      </c>
      <c r="AD2451" s="170" t="str">
        <f t="shared" si="197"/>
        <v/>
      </c>
    </row>
    <row r="2452" spans="1:30" s="170" customFormat="1" ht="20.399999999999999">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94"/>
        <v/>
      </c>
      <c r="T2452" s="155" t="str">
        <f ca="1">IF(B2452="","",IF(ISERROR(MATCH($J2452,SorP!$B$1:$B$6226,0)),"",INDIRECT("'SorP'!$A$"&amp;MATCH($S2452&amp;$J2452,SorP!C:C,0))))</f>
        <v/>
      </c>
      <c r="U2452" s="168"/>
      <c r="V2452" s="169" t="e">
        <f>IF(C2452="",NA(),MATCH($B2452&amp;$C2452,'Smelter Look-up'!$J:$J,0))</f>
        <v>#N/A</v>
      </c>
      <c r="X2452" s="170">
        <f t="shared" ca="1" si="193"/>
        <v>0</v>
      </c>
      <c r="AB2452" s="313" t="str">
        <f t="shared" si="195"/>
        <v/>
      </c>
      <c r="AC2452" s="170" t="str">
        <f t="shared" si="196"/>
        <v/>
      </c>
      <c r="AD2452" s="170" t="str">
        <f t="shared" si="197"/>
        <v/>
      </c>
    </row>
    <row r="2453" spans="1:30" s="170" customFormat="1" ht="20.399999999999999">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94"/>
        <v/>
      </c>
      <c r="T2453" s="155" t="str">
        <f ca="1">IF(B2453="","",IF(ISERROR(MATCH($J2453,SorP!$B$1:$B$6226,0)),"",INDIRECT("'SorP'!$A$"&amp;MATCH($S2453&amp;$J2453,SorP!C:C,0))))</f>
        <v/>
      </c>
      <c r="U2453" s="168"/>
      <c r="V2453" s="169" t="e">
        <f>IF(C2453="",NA(),MATCH($B2453&amp;$C2453,'Smelter Look-up'!$J:$J,0))</f>
        <v>#N/A</v>
      </c>
      <c r="X2453" s="170">
        <f t="shared" ca="1" si="193"/>
        <v>0</v>
      </c>
      <c r="AB2453" s="313" t="str">
        <f t="shared" si="195"/>
        <v/>
      </c>
      <c r="AC2453" s="170" t="str">
        <f t="shared" si="196"/>
        <v/>
      </c>
      <c r="AD2453" s="170" t="str">
        <f t="shared" si="197"/>
        <v/>
      </c>
    </row>
    <row r="2454" spans="1:30" s="170" customFormat="1" ht="20.399999999999999">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94"/>
        <v/>
      </c>
      <c r="T2454" s="155" t="str">
        <f ca="1">IF(B2454="","",IF(ISERROR(MATCH($J2454,SorP!$B$1:$B$6226,0)),"",INDIRECT("'SorP'!$A$"&amp;MATCH($S2454&amp;$J2454,SorP!C:C,0))))</f>
        <v/>
      </c>
      <c r="U2454" s="168"/>
      <c r="V2454" s="169" t="e">
        <f>IF(C2454="",NA(),MATCH($B2454&amp;$C2454,'Smelter Look-up'!$J:$J,0))</f>
        <v>#N/A</v>
      </c>
      <c r="X2454" s="170">
        <f t="shared" ca="1" si="193"/>
        <v>0</v>
      </c>
      <c r="AB2454" s="313" t="str">
        <f t="shared" si="195"/>
        <v/>
      </c>
      <c r="AC2454" s="170" t="str">
        <f t="shared" si="196"/>
        <v/>
      </c>
      <c r="AD2454" s="170" t="str">
        <f t="shared" si="197"/>
        <v/>
      </c>
    </row>
    <row r="2455" spans="1:30" s="170" customFormat="1" ht="20.399999999999999">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94"/>
        <v/>
      </c>
      <c r="T2455" s="155" t="str">
        <f ca="1">IF(B2455="","",IF(ISERROR(MATCH($J2455,SorP!$B$1:$B$6226,0)),"",INDIRECT("'SorP'!$A$"&amp;MATCH($S2455&amp;$J2455,SorP!C:C,0))))</f>
        <v/>
      </c>
      <c r="U2455" s="168"/>
      <c r="V2455" s="169" t="e">
        <f>IF(C2455="",NA(),MATCH($B2455&amp;$C2455,'Smelter Look-up'!$J:$J,0))</f>
        <v>#N/A</v>
      </c>
      <c r="X2455" s="170">
        <f t="shared" ca="1" si="193"/>
        <v>0</v>
      </c>
      <c r="AB2455" s="313" t="str">
        <f t="shared" si="195"/>
        <v/>
      </c>
      <c r="AC2455" s="170" t="str">
        <f t="shared" si="196"/>
        <v/>
      </c>
      <c r="AD2455" s="170" t="str">
        <f t="shared" si="197"/>
        <v/>
      </c>
    </row>
    <row r="2456" spans="1:30" s="170" customFormat="1" ht="20.399999999999999">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94"/>
        <v/>
      </c>
      <c r="T2456" s="155" t="str">
        <f ca="1">IF(B2456="","",IF(ISERROR(MATCH($J2456,SorP!$B$1:$B$6226,0)),"",INDIRECT("'SorP'!$A$"&amp;MATCH($S2456&amp;$J2456,SorP!C:C,0))))</f>
        <v/>
      </c>
      <c r="U2456" s="168"/>
      <c r="V2456" s="169" t="e">
        <f>IF(C2456="",NA(),MATCH($B2456&amp;$C2456,'Smelter Look-up'!$J:$J,0))</f>
        <v>#N/A</v>
      </c>
      <c r="X2456" s="170">
        <f t="shared" ca="1" si="193"/>
        <v>0</v>
      </c>
      <c r="AB2456" s="313" t="str">
        <f t="shared" si="195"/>
        <v/>
      </c>
      <c r="AC2456" s="170" t="str">
        <f t="shared" si="196"/>
        <v/>
      </c>
      <c r="AD2456" s="170" t="str">
        <f t="shared" si="197"/>
        <v/>
      </c>
    </row>
    <row r="2457" spans="1:30" s="170" customFormat="1" ht="20.399999999999999">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94"/>
        <v/>
      </c>
      <c r="T2457" s="155" t="str">
        <f ca="1">IF(B2457="","",IF(ISERROR(MATCH($J2457,SorP!$B$1:$B$6226,0)),"",INDIRECT("'SorP'!$A$"&amp;MATCH($S2457&amp;$J2457,SorP!C:C,0))))</f>
        <v/>
      </c>
      <c r="U2457" s="168"/>
      <c r="V2457" s="169" t="e">
        <f>IF(C2457="",NA(),MATCH($B2457&amp;$C2457,'Smelter Look-up'!$J:$J,0))</f>
        <v>#N/A</v>
      </c>
      <c r="X2457" s="170">
        <f t="shared" ca="1" si="193"/>
        <v>0</v>
      </c>
      <c r="AB2457" s="313" t="str">
        <f t="shared" si="195"/>
        <v/>
      </c>
      <c r="AC2457" s="170" t="str">
        <f t="shared" si="196"/>
        <v/>
      </c>
      <c r="AD2457" s="170" t="str">
        <f t="shared" si="197"/>
        <v/>
      </c>
    </row>
    <row r="2458" spans="1:30" s="170" customFormat="1" ht="20.399999999999999">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94"/>
        <v/>
      </c>
      <c r="T2458" s="155" t="str">
        <f ca="1">IF(B2458="","",IF(ISERROR(MATCH($J2458,SorP!$B$1:$B$6226,0)),"",INDIRECT("'SorP'!$A$"&amp;MATCH($S2458&amp;$J2458,SorP!C:C,0))))</f>
        <v/>
      </c>
      <c r="U2458" s="168"/>
      <c r="V2458" s="169" t="e">
        <f>IF(C2458="",NA(),MATCH($B2458&amp;$C2458,'Smelter Look-up'!$J:$J,0))</f>
        <v>#N/A</v>
      </c>
      <c r="X2458" s="170">
        <f t="shared" ca="1" si="193"/>
        <v>0</v>
      </c>
      <c r="AB2458" s="313" t="str">
        <f t="shared" si="195"/>
        <v/>
      </c>
      <c r="AC2458" s="170" t="str">
        <f t="shared" si="196"/>
        <v/>
      </c>
      <c r="AD2458" s="170" t="str">
        <f t="shared" si="197"/>
        <v/>
      </c>
    </row>
    <row r="2459" spans="1:30" s="170" customFormat="1" ht="20.399999999999999">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94"/>
        <v/>
      </c>
      <c r="T2459" s="155" t="str">
        <f ca="1">IF(B2459="","",IF(ISERROR(MATCH($J2459,SorP!$B$1:$B$6226,0)),"",INDIRECT("'SorP'!$A$"&amp;MATCH($S2459&amp;$J2459,SorP!C:C,0))))</f>
        <v/>
      </c>
      <c r="U2459" s="168"/>
      <c r="V2459" s="169" t="e">
        <f>IF(C2459="",NA(),MATCH($B2459&amp;$C2459,'Smelter Look-up'!$J:$J,0))</f>
        <v>#N/A</v>
      </c>
      <c r="X2459" s="170">
        <f t="shared" ca="1" si="193"/>
        <v>0</v>
      </c>
      <c r="AB2459" s="313" t="str">
        <f t="shared" si="195"/>
        <v/>
      </c>
      <c r="AC2459" s="170" t="str">
        <f t="shared" si="196"/>
        <v/>
      </c>
      <c r="AD2459" s="170" t="str">
        <f t="shared" si="197"/>
        <v/>
      </c>
    </row>
    <row r="2460" spans="1:30" s="170" customFormat="1" ht="20.399999999999999">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94"/>
        <v/>
      </c>
      <c r="T2460" s="155" t="str">
        <f ca="1">IF(B2460="","",IF(ISERROR(MATCH($J2460,SorP!$B$1:$B$6226,0)),"",INDIRECT("'SorP'!$A$"&amp;MATCH($S2460&amp;$J2460,SorP!C:C,0))))</f>
        <v/>
      </c>
      <c r="U2460" s="168"/>
      <c r="V2460" s="169" t="e">
        <f>IF(C2460="",NA(),MATCH($B2460&amp;$C2460,'Smelter Look-up'!$J:$J,0))</f>
        <v>#N/A</v>
      </c>
      <c r="X2460" s="170">
        <f t="shared" ca="1" si="193"/>
        <v>0</v>
      </c>
      <c r="AB2460" s="313" t="str">
        <f t="shared" si="195"/>
        <v/>
      </c>
      <c r="AC2460" s="170" t="str">
        <f t="shared" si="196"/>
        <v/>
      </c>
      <c r="AD2460" s="170" t="str">
        <f t="shared" si="197"/>
        <v/>
      </c>
    </row>
    <row r="2461" spans="1:30" s="170" customFormat="1" ht="20.399999999999999">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94"/>
        <v/>
      </c>
      <c r="T2461" s="155" t="str">
        <f ca="1">IF(B2461="","",IF(ISERROR(MATCH($J2461,SorP!$B$1:$B$6226,0)),"",INDIRECT("'SorP'!$A$"&amp;MATCH($S2461&amp;$J2461,SorP!C:C,0))))</f>
        <v/>
      </c>
      <c r="U2461" s="168"/>
      <c r="V2461" s="169" t="e">
        <f>IF(C2461="",NA(),MATCH($B2461&amp;$C2461,'Smelter Look-up'!$J:$J,0))</f>
        <v>#N/A</v>
      </c>
      <c r="X2461" s="170">
        <f t="shared" ca="1" si="193"/>
        <v>0</v>
      </c>
      <c r="AB2461" s="313" t="str">
        <f t="shared" si="195"/>
        <v/>
      </c>
      <c r="AC2461" s="170" t="str">
        <f t="shared" si="196"/>
        <v/>
      </c>
      <c r="AD2461" s="170" t="str">
        <f t="shared" si="197"/>
        <v/>
      </c>
    </row>
    <row r="2462" spans="1:30" s="170" customFormat="1" ht="20.399999999999999">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94"/>
        <v/>
      </c>
      <c r="T2462" s="155" t="str">
        <f ca="1">IF(B2462="","",IF(ISERROR(MATCH($J2462,SorP!$B$1:$B$6226,0)),"",INDIRECT("'SorP'!$A$"&amp;MATCH($S2462&amp;$J2462,SorP!C:C,0))))</f>
        <v/>
      </c>
      <c r="U2462" s="168"/>
      <c r="V2462" s="169" t="e">
        <f>IF(C2462="",NA(),MATCH($B2462&amp;$C2462,'Smelter Look-up'!$J:$J,0))</f>
        <v>#N/A</v>
      </c>
      <c r="X2462" s="170">
        <f t="shared" ca="1" si="193"/>
        <v>0</v>
      </c>
      <c r="AB2462" s="313" t="str">
        <f t="shared" si="195"/>
        <v/>
      </c>
      <c r="AC2462" s="170" t="str">
        <f t="shared" si="196"/>
        <v/>
      </c>
      <c r="AD2462" s="170" t="str">
        <f t="shared" si="197"/>
        <v/>
      </c>
    </row>
    <row r="2463" spans="1:30" s="170" customFormat="1" ht="20.399999999999999">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94"/>
        <v/>
      </c>
      <c r="T2463" s="155" t="str">
        <f ca="1">IF(B2463="","",IF(ISERROR(MATCH($J2463,SorP!$B$1:$B$6226,0)),"",INDIRECT("'SorP'!$A$"&amp;MATCH($S2463&amp;$J2463,SorP!C:C,0))))</f>
        <v/>
      </c>
      <c r="U2463" s="168"/>
      <c r="V2463" s="169" t="e">
        <f>IF(C2463="",NA(),MATCH($B2463&amp;$C2463,'Smelter Look-up'!$J:$J,0))</f>
        <v>#N/A</v>
      </c>
      <c r="X2463" s="170">
        <f t="shared" ca="1" si="193"/>
        <v>0</v>
      </c>
      <c r="AB2463" s="313" t="str">
        <f t="shared" si="195"/>
        <v/>
      </c>
      <c r="AC2463" s="170" t="str">
        <f t="shared" si="196"/>
        <v/>
      </c>
      <c r="AD2463" s="170" t="str">
        <f t="shared" si="197"/>
        <v/>
      </c>
    </row>
    <row r="2464" spans="1:30" s="170" customFormat="1" ht="20.399999999999999">
      <c r="A2464" s="155"/>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150"/>
      <c r="L2464" s="150"/>
      <c r="M2464" s="150"/>
      <c r="N2464" s="150"/>
      <c r="O2464" s="150"/>
      <c r="P2464" s="208"/>
      <c r="Q2464" s="151"/>
      <c r="R2464" s="149" t="str">
        <f ca="1">IF(ISERROR($V2464),"",OFFSET('Smelter Look-up'!$C$4,$V2464-4,0)&amp;"")</f>
        <v/>
      </c>
      <c r="S2464" s="155" t="str">
        <f t="shared" ca="1" si="194"/>
        <v/>
      </c>
      <c r="T2464" s="155" t="str">
        <f ca="1">IF(B2464="","",IF(ISERROR(MATCH($J2464,SorP!$B$1:$B$6226,0)),"",INDIRECT("'SorP'!$A$"&amp;MATCH($S2464&amp;$J2464,SorP!C:C,0))))</f>
        <v/>
      </c>
      <c r="U2464" s="168"/>
      <c r="V2464" s="169" t="e">
        <f>IF(C2464="",NA(),MATCH($B2464&amp;$C2464,'Smelter Look-up'!$J:$J,0))</f>
        <v>#N/A</v>
      </c>
      <c r="X2464" s="170">
        <f t="shared" ca="1" si="193"/>
        <v>0</v>
      </c>
      <c r="AB2464" s="313" t="str">
        <f t="shared" si="195"/>
        <v/>
      </c>
      <c r="AC2464" s="170" t="str">
        <f t="shared" si="196"/>
        <v/>
      </c>
      <c r="AD2464" s="170" t="str">
        <f t="shared" si="197"/>
        <v/>
      </c>
    </row>
    <row r="2465" spans="1:30" s="170" customFormat="1" ht="20.399999999999999">
      <c r="A2465" s="155"/>
      <c r="B2465" s="303"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08"/>
      <c r="Q2465" s="151"/>
      <c r="R2465" s="149" t="str">
        <f ca="1">IF(ISERROR($V2465),"",OFFSET('Smelter Look-up'!$C$4,$V2465-4,0)&amp;"")</f>
        <v/>
      </c>
      <c r="S2465" s="155" t="str">
        <f t="shared" ca="1" si="194"/>
        <v/>
      </c>
      <c r="T2465" s="155" t="str">
        <f ca="1">IF(B2465="","",IF(ISERROR(MATCH($J2465,SorP!$B$1:$B$6226,0)),"",INDIRECT("'SorP'!$A$"&amp;MATCH($S2465&amp;$J2465,SorP!C:C,0))))</f>
        <v/>
      </c>
      <c r="U2465" s="168"/>
      <c r="V2465" s="169" t="e">
        <f>IF(C2465="",NA(),MATCH($B2465&amp;$C2465,'Smelter Look-up'!$J:$J,0))</f>
        <v>#N/A</v>
      </c>
      <c r="X2465" s="170">
        <f t="shared" ca="1" si="193"/>
        <v>0</v>
      </c>
      <c r="AB2465" s="313" t="str">
        <f t="shared" si="195"/>
        <v/>
      </c>
      <c r="AC2465" s="170" t="str">
        <f t="shared" si="196"/>
        <v/>
      </c>
      <c r="AD2465" s="170" t="str">
        <f t="shared" si="197"/>
        <v/>
      </c>
    </row>
    <row r="2466" spans="1:30" s="170" customFormat="1" ht="20.399999999999999">
      <c r="A2466" s="155"/>
      <c r="B2466" s="303"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150"/>
      <c r="L2466" s="150"/>
      <c r="M2466" s="150"/>
      <c r="N2466" s="150"/>
      <c r="O2466" s="150"/>
      <c r="P2466" s="208"/>
      <c r="Q2466" s="151"/>
      <c r="R2466" s="149" t="str">
        <f ca="1">IF(ISERROR($V2466),"",OFFSET('Smelter Look-up'!$C$4,$V2466-4,0)&amp;"")</f>
        <v/>
      </c>
      <c r="S2466" s="155" t="str">
        <f t="shared" ca="1" si="194"/>
        <v/>
      </c>
      <c r="T2466" s="155" t="str">
        <f ca="1">IF(B2466="","",IF(ISERROR(MATCH($J2466,SorP!$B$1:$B$6226,0)),"",INDIRECT("'SorP'!$A$"&amp;MATCH($S2466&amp;$J2466,SorP!C:C,0))))</f>
        <v/>
      </c>
      <c r="U2466" s="168"/>
      <c r="V2466" s="169" t="e">
        <f>IF(C2466="",NA(),MATCH($B2466&amp;$C2466,'Smelter Look-up'!$J:$J,0))</f>
        <v>#N/A</v>
      </c>
      <c r="X2466" s="170">
        <f t="shared" ca="1" si="193"/>
        <v>0</v>
      </c>
      <c r="AB2466" s="313" t="str">
        <f t="shared" si="195"/>
        <v/>
      </c>
      <c r="AC2466" s="170" t="str">
        <f t="shared" si="196"/>
        <v/>
      </c>
      <c r="AD2466" s="170" t="str">
        <f t="shared" si="197"/>
        <v/>
      </c>
    </row>
    <row r="2467" spans="1:30" s="170" customFormat="1" ht="20.399999999999999">
      <c r="A2467" s="155"/>
      <c r="B2467" s="303"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150"/>
      <c r="L2467" s="150"/>
      <c r="M2467" s="150"/>
      <c r="N2467" s="150"/>
      <c r="O2467" s="150"/>
      <c r="P2467" s="208"/>
      <c r="Q2467" s="151"/>
      <c r="R2467" s="149" t="str">
        <f ca="1">IF(ISERROR($V2467),"",OFFSET('Smelter Look-up'!$C$4,$V2467-4,0)&amp;"")</f>
        <v/>
      </c>
      <c r="S2467" s="155" t="str">
        <f t="shared" ca="1" si="194"/>
        <v/>
      </c>
      <c r="T2467" s="155" t="str">
        <f ca="1">IF(B2467="","",IF(ISERROR(MATCH($J2467,SorP!$B$1:$B$6226,0)),"",INDIRECT("'SorP'!$A$"&amp;MATCH($S2467&amp;$J2467,SorP!C:C,0))))</f>
        <v/>
      </c>
      <c r="U2467" s="168"/>
      <c r="V2467" s="169" t="e">
        <f>IF(C2467="",NA(),MATCH($B2467&amp;$C2467,'Smelter Look-up'!$J:$J,0))</f>
        <v>#N/A</v>
      </c>
      <c r="X2467" s="170">
        <f t="shared" ca="1" si="193"/>
        <v>0</v>
      </c>
      <c r="AB2467" s="313" t="str">
        <f t="shared" si="195"/>
        <v/>
      </c>
      <c r="AC2467" s="170" t="str">
        <f t="shared" si="196"/>
        <v/>
      </c>
      <c r="AD2467" s="170" t="str">
        <f t="shared" si="197"/>
        <v/>
      </c>
    </row>
    <row r="2468" spans="1:30" s="170" customFormat="1" ht="20.399999999999999">
      <c r="A2468" s="155"/>
      <c r="B2468" s="303"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150"/>
      <c r="L2468" s="150"/>
      <c r="M2468" s="150"/>
      <c r="N2468" s="150"/>
      <c r="O2468" s="150"/>
      <c r="P2468" s="208"/>
      <c r="Q2468" s="151"/>
      <c r="R2468" s="149" t="str">
        <f ca="1">IF(ISERROR($V2468),"",OFFSET('Smelter Look-up'!$C$4,$V2468-4,0)&amp;"")</f>
        <v/>
      </c>
      <c r="S2468" s="155" t="str">
        <f t="shared" ca="1" si="194"/>
        <v/>
      </c>
      <c r="T2468" s="155" t="str">
        <f ca="1">IF(B2468="","",IF(ISERROR(MATCH($J2468,SorP!$B$1:$B$6226,0)),"",INDIRECT("'SorP'!$A$"&amp;MATCH($S2468&amp;$J2468,SorP!C:C,0))))</f>
        <v/>
      </c>
      <c r="U2468" s="168"/>
      <c r="V2468" s="169" t="e">
        <f>IF(C2468="",NA(),MATCH($B2468&amp;$C2468,'Smelter Look-up'!$J:$J,0))</f>
        <v>#N/A</v>
      </c>
      <c r="X2468" s="170">
        <f t="shared" ca="1" si="193"/>
        <v>0</v>
      </c>
      <c r="AB2468" s="313" t="str">
        <f t="shared" si="195"/>
        <v/>
      </c>
      <c r="AC2468" s="170" t="str">
        <f t="shared" si="196"/>
        <v/>
      </c>
      <c r="AD2468" s="170" t="str">
        <f t="shared" si="197"/>
        <v/>
      </c>
    </row>
    <row r="2469" spans="1:30" s="170" customFormat="1" ht="20.399999999999999">
      <c r="A2469" s="155"/>
      <c r="B2469" s="303"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150"/>
      <c r="L2469" s="150"/>
      <c r="M2469" s="150"/>
      <c r="N2469" s="150"/>
      <c r="O2469" s="150"/>
      <c r="P2469" s="208"/>
      <c r="Q2469" s="151"/>
      <c r="R2469" s="149" t="str">
        <f ca="1">IF(ISERROR($V2469),"",OFFSET('Smelter Look-up'!$C$4,$V2469-4,0)&amp;"")</f>
        <v/>
      </c>
      <c r="S2469" s="155" t="str">
        <f t="shared" ca="1" si="194"/>
        <v/>
      </c>
      <c r="T2469" s="155" t="str">
        <f ca="1">IF(B2469="","",IF(ISERROR(MATCH($J2469,SorP!$B$1:$B$6226,0)),"",INDIRECT("'SorP'!$A$"&amp;MATCH($S2469&amp;$J2469,SorP!C:C,0))))</f>
        <v/>
      </c>
      <c r="U2469" s="168"/>
      <c r="V2469" s="169" t="e">
        <f>IF(C2469="",NA(),MATCH($B2469&amp;$C2469,'Smelter Look-up'!$J:$J,0))</f>
        <v>#N/A</v>
      </c>
      <c r="X2469" s="170">
        <f t="shared" ca="1" si="193"/>
        <v>0</v>
      </c>
      <c r="AB2469" s="313" t="str">
        <f t="shared" si="195"/>
        <v/>
      </c>
      <c r="AC2469" s="170" t="str">
        <f t="shared" si="196"/>
        <v/>
      </c>
      <c r="AD2469" s="170" t="str">
        <f t="shared" si="197"/>
        <v/>
      </c>
    </row>
    <row r="2470" spans="1:30" s="170" customFormat="1" ht="20.399999999999999">
      <c r="A2470" s="155"/>
      <c r="B2470" s="303"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5" t="str">
        <f ca="1">IF(ISERROR($V2470),"",OFFSET('Smelter Look-up'!$G$4,$V2470-4,0))</f>
        <v/>
      </c>
      <c r="I2470" s="206" t="str">
        <f ca="1">IF(ISERROR($V2470),"",OFFSET('Smelter Look-up'!$H$4,$V2470-4,0))</f>
        <v/>
      </c>
      <c r="J2470" s="206" t="str">
        <f ca="1">IF(ISERROR($V2470),"",OFFSET('Smelter Look-up'!$I$4,$V2470-4,0))</f>
        <v/>
      </c>
      <c r="K2470" s="150"/>
      <c r="L2470" s="150"/>
      <c r="M2470" s="150"/>
      <c r="N2470" s="150"/>
      <c r="O2470" s="150"/>
      <c r="P2470" s="208"/>
      <c r="Q2470" s="151"/>
      <c r="R2470" s="149" t="str">
        <f ca="1">IF(ISERROR($V2470),"",OFFSET('Smelter Look-up'!$C$4,$V2470-4,0)&amp;"")</f>
        <v/>
      </c>
      <c r="S2470" s="155" t="str">
        <f t="shared" ca="1" si="194"/>
        <v/>
      </c>
      <c r="T2470" s="155" t="str">
        <f ca="1">IF(B2470="","",IF(ISERROR(MATCH($J2470,SorP!$B$1:$B$6226,0)),"",INDIRECT("'SorP'!$A$"&amp;MATCH($S2470&amp;$J2470,SorP!C:C,0))))</f>
        <v/>
      </c>
      <c r="U2470" s="168"/>
      <c r="V2470" s="169" t="e">
        <f>IF(C2470="",NA(),MATCH($B2470&amp;$C2470,'Smelter Look-up'!$J:$J,0))</f>
        <v>#N/A</v>
      </c>
      <c r="X2470" s="170">
        <f t="shared" ca="1" si="193"/>
        <v>0</v>
      </c>
      <c r="AB2470" s="313" t="str">
        <f t="shared" si="195"/>
        <v/>
      </c>
      <c r="AC2470" s="170" t="str">
        <f t="shared" si="196"/>
        <v/>
      </c>
      <c r="AD2470" s="170" t="str">
        <f t="shared" si="197"/>
        <v/>
      </c>
    </row>
    <row r="2471" spans="1:30" s="170" customFormat="1" ht="20.399999999999999">
      <c r="A2471" s="155"/>
      <c r="B2471" s="303"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5" t="str">
        <f ca="1">IF(ISERROR($V2471),"",OFFSET('Smelter Look-up'!$G$4,$V2471-4,0))</f>
        <v/>
      </c>
      <c r="I2471" s="206" t="str">
        <f ca="1">IF(ISERROR($V2471),"",OFFSET('Smelter Look-up'!$H$4,$V2471-4,0))</f>
        <v/>
      </c>
      <c r="J2471" s="206" t="str">
        <f ca="1">IF(ISERROR($V2471),"",OFFSET('Smelter Look-up'!$I$4,$V2471-4,0))</f>
        <v/>
      </c>
      <c r="K2471" s="150"/>
      <c r="L2471" s="150"/>
      <c r="M2471" s="150"/>
      <c r="N2471" s="150"/>
      <c r="O2471" s="150"/>
      <c r="P2471" s="208"/>
      <c r="Q2471" s="151"/>
      <c r="R2471" s="149" t="str">
        <f ca="1">IF(ISERROR($V2471),"",OFFSET('Smelter Look-up'!$C$4,$V2471-4,0)&amp;"")</f>
        <v/>
      </c>
      <c r="S2471" s="155" t="str">
        <f t="shared" ca="1" si="194"/>
        <v/>
      </c>
      <c r="T2471" s="155" t="str">
        <f ca="1">IF(B2471="","",IF(ISERROR(MATCH($J2471,SorP!$B$1:$B$6226,0)),"",INDIRECT("'SorP'!$A$"&amp;MATCH($S2471&amp;$J2471,SorP!C:C,0))))</f>
        <v/>
      </c>
      <c r="U2471" s="168"/>
      <c r="V2471" s="169" t="e">
        <f>IF(C2471="",NA(),MATCH($B2471&amp;$C2471,'Smelter Look-up'!$J:$J,0))</f>
        <v>#N/A</v>
      </c>
      <c r="X2471" s="170">
        <f t="shared" ca="1" si="193"/>
        <v>0</v>
      </c>
      <c r="AB2471" s="313" t="str">
        <f t="shared" si="195"/>
        <v/>
      </c>
      <c r="AC2471" s="170" t="str">
        <f t="shared" si="196"/>
        <v/>
      </c>
      <c r="AD2471" s="170" t="str">
        <f t="shared" si="197"/>
        <v/>
      </c>
    </row>
    <row r="2472" spans="1:30" s="170" customFormat="1" ht="20.399999999999999">
      <c r="A2472" s="155"/>
      <c r="B2472" s="303"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5" t="str">
        <f ca="1">IF(ISERROR($V2472),"",OFFSET('Smelter Look-up'!$G$4,$V2472-4,0))</f>
        <v/>
      </c>
      <c r="I2472" s="206" t="str">
        <f ca="1">IF(ISERROR($V2472),"",OFFSET('Smelter Look-up'!$H$4,$V2472-4,0))</f>
        <v/>
      </c>
      <c r="J2472" s="206" t="str">
        <f ca="1">IF(ISERROR($V2472),"",OFFSET('Smelter Look-up'!$I$4,$V2472-4,0))</f>
        <v/>
      </c>
      <c r="K2472" s="150"/>
      <c r="L2472" s="150"/>
      <c r="M2472" s="150"/>
      <c r="N2472" s="150"/>
      <c r="O2472" s="150"/>
      <c r="P2472" s="208"/>
      <c r="Q2472" s="151"/>
      <c r="R2472" s="149" t="str">
        <f ca="1">IF(ISERROR($V2472),"",OFFSET('Smelter Look-up'!$C$4,$V2472-4,0)&amp;"")</f>
        <v/>
      </c>
      <c r="S2472" s="155" t="str">
        <f t="shared" ca="1" si="194"/>
        <v/>
      </c>
      <c r="T2472" s="155" t="str">
        <f ca="1">IF(B2472="","",IF(ISERROR(MATCH($J2472,SorP!$B$1:$B$6226,0)),"",INDIRECT("'SorP'!$A$"&amp;MATCH($S2472&amp;$J2472,SorP!C:C,0))))</f>
        <v/>
      </c>
      <c r="U2472" s="168"/>
      <c r="V2472" s="169" t="e">
        <f>IF(C2472="",NA(),MATCH($B2472&amp;$C2472,'Smelter Look-up'!$J:$J,0))</f>
        <v>#N/A</v>
      </c>
      <c r="X2472" s="170">
        <f t="shared" ca="1" si="193"/>
        <v>0</v>
      </c>
      <c r="AB2472" s="313" t="str">
        <f t="shared" si="195"/>
        <v/>
      </c>
      <c r="AC2472" s="170" t="str">
        <f t="shared" si="196"/>
        <v/>
      </c>
      <c r="AD2472" s="170" t="str">
        <f t="shared" si="197"/>
        <v/>
      </c>
    </row>
    <row r="2473" spans="1:30" s="170" customFormat="1" ht="20.399999999999999">
      <c r="A2473" s="155"/>
      <c r="B2473" s="303"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5" t="str">
        <f ca="1">IF(ISERROR($V2473),"",OFFSET('Smelter Look-up'!$G$4,$V2473-4,0))</f>
        <v/>
      </c>
      <c r="I2473" s="206" t="str">
        <f ca="1">IF(ISERROR($V2473),"",OFFSET('Smelter Look-up'!$H$4,$V2473-4,0))</f>
        <v/>
      </c>
      <c r="J2473" s="206" t="str">
        <f ca="1">IF(ISERROR($V2473),"",OFFSET('Smelter Look-up'!$I$4,$V2473-4,0))</f>
        <v/>
      </c>
      <c r="K2473" s="150"/>
      <c r="L2473" s="150"/>
      <c r="M2473" s="150"/>
      <c r="N2473" s="150"/>
      <c r="O2473" s="150"/>
      <c r="P2473" s="208"/>
      <c r="Q2473" s="151"/>
      <c r="R2473" s="149" t="str">
        <f ca="1">IF(ISERROR($V2473),"",OFFSET('Smelter Look-up'!$C$4,$V2473-4,0)&amp;"")</f>
        <v/>
      </c>
      <c r="S2473" s="155" t="str">
        <f t="shared" ca="1" si="194"/>
        <v/>
      </c>
      <c r="T2473" s="155" t="str">
        <f ca="1">IF(B2473="","",IF(ISERROR(MATCH($J2473,SorP!$B$1:$B$6226,0)),"",INDIRECT("'SorP'!$A$"&amp;MATCH($S2473&amp;$J2473,SorP!C:C,0))))</f>
        <v/>
      </c>
      <c r="U2473" s="168"/>
      <c r="V2473" s="169" t="e">
        <f>IF(C2473="",NA(),MATCH($B2473&amp;$C2473,'Smelter Look-up'!$J:$J,0))</f>
        <v>#N/A</v>
      </c>
      <c r="X2473" s="170">
        <f t="shared" ca="1" si="193"/>
        <v>0</v>
      </c>
      <c r="AB2473" s="313" t="str">
        <f t="shared" si="195"/>
        <v/>
      </c>
      <c r="AC2473" s="170" t="str">
        <f t="shared" si="196"/>
        <v/>
      </c>
      <c r="AD2473" s="170" t="str">
        <f t="shared" si="197"/>
        <v/>
      </c>
    </row>
    <row r="2474" spans="1:30" s="170" customFormat="1" ht="20.399999999999999">
      <c r="A2474" s="155"/>
      <c r="B2474" s="303"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5" t="str">
        <f ca="1">IF(ISERROR($V2474),"",OFFSET('Smelter Look-up'!$G$4,$V2474-4,0))</f>
        <v/>
      </c>
      <c r="I2474" s="206" t="str">
        <f ca="1">IF(ISERROR($V2474),"",OFFSET('Smelter Look-up'!$H$4,$V2474-4,0))</f>
        <v/>
      </c>
      <c r="J2474" s="206" t="str">
        <f ca="1">IF(ISERROR($V2474),"",OFFSET('Smelter Look-up'!$I$4,$V2474-4,0))</f>
        <v/>
      </c>
      <c r="K2474" s="150"/>
      <c r="L2474" s="150"/>
      <c r="M2474" s="150"/>
      <c r="N2474" s="150"/>
      <c r="O2474" s="150"/>
      <c r="P2474" s="208"/>
      <c r="Q2474" s="151"/>
      <c r="R2474" s="149" t="str">
        <f ca="1">IF(ISERROR($V2474),"",OFFSET('Smelter Look-up'!$C$4,$V2474-4,0)&amp;"")</f>
        <v/>
      </c>
      <c r="S2474" s="155" t="str">
        <f t="shared" ca="1" si="194"/>
        <v/>
      </c>
      <c r="T2474" s="155" t="str">
        <f ca="1">IF(B2474="","",IF(ISERROR(MATCH($J2474,SorP!$B$1:$B$6226,0)),"",INDIRECT("'SorP'!$A$"&amp;MATCH($S2474&amp;$J2474,SorP!C:C,0))))</f>
        <v/>
      </c>
      <c r="U2474" s="168"/>
      <c r="V2474" s="169" t="e">
        <f>IF(C2474="",NA(),MATCH($B2474&amp;$C2474,'Smelter Look-up'!$J:$J,0))</f>
        <v>#N/A</v>
      </c>
      <c r="X2474" s="170">
        <f t="shared" ca="1" si="193"/>
        <v>0</v>
      </c>
      <c r="AB2474" s="313" t="str">
        <f t="shared" si="195"/>
        <v/>
      </c>
      <c r="AC2474" s="170" t="str">
        <f t="shared" si="196"/>
        <v/>
      </c>
      <c r="AD2474" s="170" t="str">
        <f t="shared" si="197"/>
        <v/>
      </c>
    </row>
    <row r="2475" spans="1:30" s="170" customFormat="1" ht="20.399999999999999">
      <c r="A2475" s="155"/>
      <c r="B2475" s="303"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5" t="str">
        <f ca="1">IF(ISERROR($V2475),"",OFFSET('Smelter Look-up'!$G$4,$V2475-4,0))</f>
        <v/>
      </c>
      <c r="I2475" s="206" t="str">
        <f ca="1">IF(ISERROR($V2475),"",OFFSET('Smelter Look-up'!$H$4,$V2475-4,0))</f>
        <v/>
      </c>
      <c r="J2475" s="206" t="str">
        <f ca="1">IF(ISERROR($V2475),"",OFFSET('Smelter Look-up'!$I$4,$V2475-4,0))</f>
        <v/>
      </c>
      <c r="K2475" s="150"/>
      <c r="L2475" s="150"/>
      <c r="M2475" s="150"/>
      <c r="N2475" s="150"/>
      <c r="O2475" s="150"/>
      <c r="P2475" s="208"/>
      <c r="Q2475" s="151"/>
      <c r="R2475" s="149" t="str">
        <f ca="1">IF(ISERROR($V2475),"",OFFSET('Smelter Look-up'!$C$4,$V2475-4,0)&amp;"")</f>
        <v/>
      </c>
      <c r="S2475" s="155" t="str">
        <f t="shared" ca="1" si="194"/>
        <v/>
      </c>
      <c r="T2475" s="155" t="str">
        <f ca="1">IF(B2475="","",IF(ISERROR(MATCH($J2475,SorP!$B$1:$B$6226,0)),"",INDIRECT("'SorP'!$A$"&amp;MATCH($S2475&amp;$J2475,SorP!C:C,0))))</f>
        <v/>
      </c>
      <c r="U2475" s="168"/>
      <c r="V2475" s="169" t="e">
        <f>IF(C2475="",NA(),MATCH($B2475&amp;$C2475,'Smelter Look-up'!$J:$J,0))</f>
        <v>#N/A</v>
      </c>
      <c r="X2475" s="170">
        <f t="shared" ca="1" si="193"/>
        <v>0</v>
      </c>
      <c r="AB2475" s="313" t="str">
        <f t="shared" si="195"/>
        <v/>
      </c>
      <c r="AC2475" s="170" t="str">
        <f t="shared" si="196"/>
        <v/>
      </c>
      <c r="AD2475" s="170" t="str">
        <f t="shared" si="197"/>
        <v/>
      </c>
    </row>
    <row r="2476" spans="1:30" s="170" customFormat="1" ht="20.399999999999999">
      <c r="A2476" s="155"/>
      <c r="B2476" s="303"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5" t="str">
        <f ca="1">IF(ISERROR($V2476),"",OFFSET('Smelter Look-up'!$G$4,$V2476-4,0))</f>
        <v/>
      </c>
      <c r="I2476" s="206" t="str">
        <f ca="1">IF(ISERROR($V2476),"",OFFSET('Smelter Look-up'!$H$4,$V2476-4,0))</f>
        <v/>
      </c>
      <c r="J2476" s="206" t="str">
        <f ca="1">IF(ISERROR($V2476),"",OFFSET('Smelter Look-up'!$I$4,$V2476-4,0))</f>
        <v/>
      </c>
      <c r="K2476" s="150"/>
      <c r="L2476" s="150"/>
      <c r="M2476" s="150"/>
      <c r="N2476" s="150"/>
      <c r="O2476" s="150"/>
      <c r="P2476" s="208"/>
      <c r="Q2476" s="151"/>
      <c r="R2476" s="149" t="str">
        <f ca="1">IF(ISERROR($V2476),"",OFFSET('Smelter Look-up'!$C$4,$V2476-4,0)&amp;"")</f>
        <v/>
      </c>
      <c r="S2476" s="155" t="str">
        <f t="shared" ca="1" si="194"/>
        <v/>
      </c>
      <c r="T2476" s="155" t="str">
        <f ca="1">IF(B2476="","",IF(ISERROR(MATCH($J2476,SorP!$B$1:$B$6226,0)),"",INDIRECT("'SorP'!$A$"&amp;MATCH($S2476&amp;$J2476,SorP!C:C,0))))</f>
        <v/>
      </c>
      <c r="U2476" s="168"/>
      <c r="V2476" s="169" t="e">
        <f>IF(C2476="",NA(),MATCH($B2476&amp;$C2476,'Smelter Look-up'!$J:$J,0))</f>
        <v>#N/A</v>
      </c>
      <c r="X2476" s="170">
        <f t="shared" ca="1" si="193"/>
        <v>0</v>
      </c>
      <c r="AB2476" s="313" t="str">
        <f t="shared" si="195"/>
        <v/>
      </c>
      <c r="AC2476" s="170" t="str">
        <f t="shared" si="196"/>
        <v/>
      </c>
      <c r="AD2476" s="170" t="str">
        <f t="shared" si="197"/>
        <v/>
      </c>
    </row>
    <row r="2477" spans="1:30" s="170" customFormat="1" ht="20.399999999999999">
      <c r="A2477" s="155"/>
      <c r="B2477" s="303"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5" t="str">
        <f ca="1">IF(ISERROR($V2477),"",OFFSET('Smelter Look-up'!$G$4,$V2477-4,0))</f>
        <v/>
      </c>
      <c r="I2477" s="206" t="str">
        <f ca="1">IF(ISERROR($V2477),"",OFFSET('Smelter Look-up'!$H$4,$V2477-4,0))</f>
        <v/>
      </c>
      <c r="J2477" s="206" t="str">
        <f ca="1">IF(ISERROR($V2477),"",OFFSET('Smelter Look-up'!$I$4,$V2477-4,0))</f>
        <v/>
      </c>
      <c r="K2477" s="150"/>
      <c r="L2477" s="150"/>
      <c r="M2477" s="150"/>
      <c r="N2477" s="150"/>
      <c r="O2477" s="150"/>
      <c r="P2477" s="208"/>
      <c r="Q2477" s="151"/>
      <c r="R2477" s="149" t="str">
        <f ca="1">IF(ISERROR($V2477),"",OFFSET('Smelter Look-up'!$C$4,$V2477-4,0)&amp;"")</f>
        <v/>
      </c>
      <c r="S2477" s="155" t="str">
        <f t="shared" ca="1" si="194"/>
        <v/>
      </c>
      <c r="T2477" s="155" t="str">
        <f ca="1">IF(B2477="","",IF(ISERROR(MATCH($J2477,SorP!$B$1:$B$6226,0)),"",INDIRECT("'SorP'!$A$"&amp;MATCH($S2477&amp;$J2477,SorP!C:C,0))))</f>
        <v/>
      </c>
      <c r="U2477" s="168"/>
      <c r="V2477" s="169" t="e">
        <f>IF(C2477="",NA(),MATCH($B2477&amp;$C2477,'Smelter Look-up'!$J:$J,0))</f>
        <v>#N/A</v>
      </c>
      <c r="X2477" s="170">
        <f t="shared" ca="1" si="193"/>
        <v>0</v>
      </c>
      <c r="AB2477" s="313" t="str">
        <f t="shared" si="195"/>
        <v/>
      </c>
      <c r="AC2477" s="170" t="str">
        <f t="shared" si="196"/>
        <v/>
      </c>
      <c r="AD2477" s="170" t="str">
        <f t="shared" si="197"/>
        <v/>
      </c>
    </row>
    <row r="2478" spans="1:30" s="170" customFormat="1" ht="20.399999999999999">
      <c r="A2478" s="155"/>
      <c r="B2478" s="303"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5" t="str">
        <f ca="1">IF(ISERROR($V2478),"",OFFSET('Smelter Look-up'!$G$4,$V2478-4,0))</f>
        <v/>
      </c>
      <c r="I2478" s="206" t="str">
        <f ca="1">IF(ISERROR($V2478),"",OFFSET('Smelter Look-up'!$H$4,$V2478-4,0))</f>
        <v/>
      </c>
      <c r="J2478" s="206" t="str">
        <f ca="1">IF(ISERROR($V2478),"",OFFSET('Smelter Look-up'!$I$4,$V2478-4,0))</f>
        <v/>
      </c>
      <c r="K2478" s="150"/>
      <c r="L2478" s="150"/>
      <c r="M2478" s="150"/>
      <c r="N2478" s="150"/>
      <c r="O2478" s="150"/>
      <c r="P2478" s="208"/>
      <c r="Q2478" s="151"/>
      <c r="R2478" s="149" t="str">
        <f ca="1">IF(ISERROR($V2478),"",OFFSET('Smelter Look-up'!$C$4,$V2478-4,0)&amp;"")</f>
        <v/>
      </c>
      <c r="S2478" s="155" t="str">
        <f t="shared" ca="1" si="194"/>
        <v/>
      </c>
      <c r="T2478" s="155" t="str">
        <f ca="1">IF(B2478="","",IF(ISERROR(MATCH($J2478,SorP!$B$1:$B$6226,0)),"",INDIRECT("'SorP'!$A$"&amp;MATCH($S2478&amp;$J2478,SorP!C:C,0))))</f>
        <v/>
      </c>
      <c r="U2478" s="168"/>
      <c r="V2478" s="169" t="e">
        <f>IF(C2478="",NA(),MATCH($B2478&amp;$C2478,'Smelter Look-up'!$J:$J,0))</f>
        <v>#N/A</v>
      </c>
      <c r="X2478" s="170">
        <f t="shared" ca="1" si="193"/>
        <v>0</v>
      </c>
      <c r="AB2478" s="313" t="str">
        <f t="shared" si="195"/>
        <v/>
      </c>
      <c r="AC2478" s="170" t="str">
        <f t="shared" si="196"/>
        <v/>
      </c>
      <c r="AD2478" s="170" t="str">
        <f t="shared" si="197"/>
        <v/>
      </c>
    </row>
    <row r="2479" spans="1:30" s="170" customFormat="1" ht="20.399999999999999">
      <c r="A2479" s="155"/>
      <c r="B2479" s="303"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5" t="str">
        <f ca="1">IF(ISERROR($V2479),"",OFFSET('Smelter Look-up'!$G$4,$V2479-4,0))</f>
        <v/>
      </c>
      <c r="I2479" s="206" t="str">
        <f ca="1">IF(ISERROR($V2479),"",OFFSET('Smelter Look-up'!$H$4,$V2479-4,0))</f>
        <v/>
      </c>
      <c r="J2479" s="206" t="str">
        <f ca="1">IF(ISERROR($V2479),"",OFFSET('Smelter Look-up'!$I$4,$V2479-4,0))</f>
        <v/>
      </c>
      <c r="K2479" s="150"/>
      <c r="L2479" s="150"/>
      <c r="M2479" s="150"/>
      <c r="N2479" s="150"/>
      <c r="O2479" s="150"/>
      <c r="P2479" s="208"/>
      <c r="Q2479" s="151"/>
      <c r="R2479" s="149" t="str">
        <f ca="1">IF(ISERROR($V2479),"",OFFSET('Smelter Look-up'!$C$4,$V2479-4,0)&amp;"")</f>
        <v/>
      </c>
      <c r="S2479" s="155" t="str">
        <f t="shared" ca="1" si="194"/>
        <v/>
      </c>
      <c r="T2479" s="155" t="str">
        <f ca="1">IF(B2479="","",IF(ISERROR(MATCH($J2479,SorP!$B$1:$B$6226,0)),"",INDIRECT("'SorP'!$A$"&amp;MATCH($S2479&amp;$J2479,SorP!C:C,0))))</f>
        <v/>
      </c>
      <c r="U2479" s="168"/>
      <c r="V2479" s="169" t="e">
        <f>IF(C2479="",NA(),MATCH($B2479&amp;$C2479,'Smelter Look-up'!$J:$J,0))</f>
        <v>#N/A</v>
      </c>
      <c r="X2479" s="170">
        <f t="shared" ca="1" si="193"/>
        <v>0</v>
      </c>
      <c r="AB2479" s="313" t="str">
        <f t="shared" si="195"/>
        <v/>
      </c>
      <c r="AC2479" s="170" t="str">
        <f t="shared" si="196"/>
        <v/>
      </c>
      <c r="AD2479" s="170" t="str">
        <f t="shared" si="197"/>
        <v/>
      </c>
    </row>
    <row r="2480" spans="1:30" s="170" customFormat="1" ht="20.399999999999999">
      <c r="A2480" s="155"/>
      <c r="B2480" s="303"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5" t="str">
        <f ca="1">IF(ISERROR($V2480),"",OFFSET('Smelter Look-up'!$G$4,$V2480-4,0))</f>
        <v/>
      </c>
      <c r="I2480" s="206" t="str">
        <f ca="1">IF(ISERROR($V2480),"",OFFSET('Smelter Look-up'!$H$4,$V2480-4,0))</f>
        <v/>
      </c>
      <c r="J2480" s="206" t="str">
        <f ca="1">IF(ISERROR($V2480),"",OFFSET('Smelter Look-up'!$I$4,$V2480-4,0))</f>
        <v/>
      </c>
      <c r="K2480" s="150"/>
      <c r="L2480" s="150"/>
      <c r="M2480" s="150"/>
      <c r="N2480" s="150"/>
      <c r="O2480" s="150"/>
      <c r="P2480" s="208"/>
      <c r="Q2480" s="151"/>
      <c r="R2480" s="149" t="str">
        <f ca="1">IF(ISERROR($V2480),"",OFFSET('Smelter Look-up'!$C$4,$V2480-4,0)&amp;"")</f>
        <v/>
      </c>
      <c r="S2480" s="155" t="str">
        <f t="shared" ca="1" si="194"/>
        <v/>
      </c>
      <c r="T2480" s="155" t="str">
        <f ca="1">IF(B2480="","",IF(ISERROR(MATCH($J2480,SorP!$B$1:$B$6226,0)),"",INDIRECT("'SorP'!$A$"&amp;MATCH($S2480&amp;$J2480,SorP!C:C,0))))</f>
        <v/>
      </c>
      <c r="U2480" s="168"/>
      <c r="V2480" s="169" t="e">
        <f>IF(C2480="",NA(),MATCH($B2480&amp;$C2480,'Smelter Look-up'!$J:$J,0))</f>
        <v>#N/A</v>
      </c>
      <c r="X2480" s="170">
        <f t="shared" ca="1" si="193"/>
        <v>0</v>
      </c>
      <c r="AB2480" s="313" t="str">
        <f t="shared" si="195"/>
        <v/>
      </c>
      <c r="AC2480" s="170" t="str">
        <f t="shared" si="196"/>
        <v/>
      </c>
      <c r="AD2480" s="170" t="str">
        <f t="shared" si="197"/>
        <v/>
      </c>
    </row>
    <row r="2481" spans="1:30" s="170" customFormat="1" ht="20.399999999999999">
      <c r="A2481" s="155"/>
      <c r="B2481" s="303"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5" t="str">
        <f ca="1">IF(ISERROR($V2481),"",OFFSET('Smelter Look-up'!$G$4,$V2481-4,0))</f>
        <v/>
      </c>
      <c r="I2481" s="206" t="str">
        <f ca="1">IF(ISERROR($V2481),"",OFFSET('Smelter Look-up'!$H$4,$V2481-4,0))</f>
        <v/>
      </c>
      <c r="J2481" s="206" t="str">
        <f ca="1">IF(ISERROR($V2481),"",OFFSET('Smelter Look-up'!$I$4,$V2481-4,0))</f>
        <v/>
      </c>
      <c r="K2481" s="150"/>
      <c r="L2481" s="150"/>
      <c r="M2481" s="150"/>
      <c r="N2481" s="150"/>
      <c r="O2481" s="150"/>
      <c r="P2481" s="208"/>
      <c r="Q2481" s="151"/>
      <c r="R2481" s="149" t="str">
        <f ca="1">IF(ISERROR($V2481),"",OFFSET('Smelter Look-up'!$C$4,$V2481-4,0)&amp;"")</f>
        <v/>
      </c>
      <c r="S2481" s="155" t="str">
        <f t="shared" ca="1" si="194"/>
        <v/>
      </c>
      <c r="T2481" s="155" t="str">
        <f ca="1">IF(B2481="","",IF(ISERROR(MATCH($J2481,SorP!$B$1:$B$6226,0)),"",INDIRECT("'SorP'!$A$"&amp;MATCH($S2481&amp;$J2481,SorP!C:C,0))))</f>
        <v/>
      </c>
      <c r="U2481" s="168"/>
      <c r="V2481" s="169" t="e">
        <f>IF(C2481="",NA(),MATCH($B2481&amp;$C2481,'Smelter Look-up'!$J:$J,0))</f>
        <v>#N/A</v>
      </c>
      <c r="X2481" s="170">
        <f t="shared" ca="1" si="193"/>
        <v>0</v>
      </c>
      <c r="AB2481" s="313" t="str">
        <f t="shared" si="195"/>
        <v/>
      </c>
      <c r="AC2481" s="170" t="str">
        <f t="shared" si="196"/>
        <v/>
      </c>
      <c r="AD2481" s="170" t="str">
        <f t="shared" si="197"/>
        <v/>
      </c>
    </row>
    <row r="2482" spans="1:30" s="170" customFormat="1" ht="20.399999999999999">
      <c r="A2482" s="155"/>
      <c r="B2482" s="303"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5" t="str">
        <f ca="1">IF(ISERROR($V2482),"",OFFSET('Smelter Look-up'!$G$4,$V2482-4,0))</f>
        <v/>
      </c>
      <c r="I2482" s="206" t="str">
        <f ca="1">IF(ISERROR($V2482),"",OFFSET('Smelter Look-up'!$H$4,$V2482-4,0))</f>
        <v/>
      </c>
      <c r="J2482" s="206" t="str">
        <f ca="1">IF(ISERROR($V2482),"",OFFSET('Smelter Look-up'!$I$4,$V2482-4,0))</f>
        <v/>
      </c>
      <c r="K2482" s="150"/>
      <c r="L2482" s="150"/>
      <c r="M2482" s="150"/>
      <c r="N2482" s="150"/>
      <c r="O2482" s="150"/>
      <c r="P2482" s="208"/>
      <c r="Q2482" s="151"/>
      <c r="R2482" s="149" t="str">
        <f ca="1">IF(ISERROR($V2482),"",OFFSET('Smelter Look-up'!$C$4,$V2482-4,0)&amp;"")</f>
        <v/>
      </c>
      <c r="S2482" s="155" t="str">
        <f t="shared" ca="1" si="194"/>
        <v/>
      </c>
      <c r="T2482" s="155" t="str">
        <f ca="1">IF(B2482="","",IF(ISERROR(MATCH($J2482,SorP!$B$1:$B$6226,0)),"",INDIRECT("'SorP'!$A$"&amp;MATCH($S2482&amp;$J2482,SorP!C:C,0))))</f>
        <v/>
      </c>
      <c r="U2482" s="168"/>
      <c r="V2482" s="169" t="e">
        <f>IF(C2482="",NA(),MATCH($B2482&amp;$C2482,'Smelter Look-up'!$J:$J,0))</f>
        <v>#N/A</v>
      </c>
      <c r="X2482" s="170">
        <f t="shared" ca="1" si="193"/>
        <v>0</v>
      </c>
      <c r="AB2482" s="313" t="str">
        <f t="shared" si="195"/>
        <v/>
      </c>
      <c r="AC2482" s="170" t="str">
        <f t="shared" si="196"/>
        <v/>
      </c>
      <c r="AD2482" s="170" t="str">
        <f t="shared" si="197"/>
        <v/>
      </c>
    </row>
    <row r="2483" spans="1:30" s="170" customFormat="1" ht="20.399999999999999">
      <c r="A2483" s="155"/>
      <c r="B2483" s="303"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5" t="str">
        <f ca="1">IF(ISERROR($V2483),"",OFFSET('Smelter Look-up'!$G$4,$V2483-4,0))</f>
        <v/>
      </c>
      <c r="I2483" s="206" t="str">
        <f ca="1">IF(ISERROR($V2483),"",OFFSET('Smelter Look-up'!$H$4,$V2483-4,0))</f>
        <v/>
      </c>
      <c r="J2483" s="206" t="str">
        <f ca="1">IF(ISERROR($V2483),"",OFFSET('Smelter Look-up'!$I$4,$V2483-4,0))</f>
        <v/>
      </c>
      <c r="K2483" s="150"/>
      <c r="L2483" s="150"/>
      <c r="M2483" s="150"/>
      <c r="N2483" s="150"/>
      <c r="O2483" s="150"/>
      <c r="P2483" s="208"/>
      <c r="Q2483" s="151"/>
      <c r="R2483" s="149" t="str">
        <f ca="1">IF(ISERROR($V2483),"",OFFSET('Smelter Look-up'!$C$4,$V2483-4,0)&amp;"")</f>
        <v/>
      </c>
      <c r="S2483" s="155" t="str">
        <f t="shared" ca="1" si="194"/>
        <v/>
      </c>
      <c r="T2483" s="155" t="str">
        <f ca="1">IF(B2483="","",IF(ISERROR(MATCH($J2483,SorP!$B$1:$B$6226,0)),"",INDIRECT("'SorP'!$A$"&amp;MATCH($S2483&amp;$J2483,SorP!C:C,0))))</f>
        <v/>
      </c>
      <c r="U2483" s="168"/>
      <c r="V2483" s="169" t="e">
        <f>IF(C2483="",NA(),MATCH($B2483&amp;$C2483,'Smelter Look-up'!$J:$J,0))</f>
        <v>#N/A</v>
      </c>
      <c r="X2483" s="170">
        <f t="shared" ca="1" si="193"/>
        <v>0</v>
      </c>
      <c r="AB2483" s="313" t="str">
        <f t="shared" si="195"/>
        <v/>
      </c>
      <c r="AC2483" s="170" t="str">
        <f t="shared" si="196"/>
        <v/>
      </c>
      <c r="AD2483" s="170" t="str">
        <f t="shared" si="197"/>
        <v/>
      </c>
    </row>
    <row r="2484" spans="1:30" s="170" customFormat="1" ht="20.399999999999999">
      <c r="A2484" s="155"/>
      <c r="B2484" s="303"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5" t="str">
        <f ca="1">IF(ISERROR($V2484),"",OFFSET('Smelter Look-up'!$G$4,$V2484-4,0))</f>
        <v/>
      </c>
      <c r="I2484" s="206" t="str">
        <f ca="1">IF(ISERROR($V2484),"",OFFSET('Smelter Look-up'!$H$4,$V2484-4,0))</f>
        <v/>
      </c>
      <c r="J2484" s="206" t="str">
        <f ca="1">IF(ISERROR($V2484),"",OFFSET('Smelter Look-up'!$I$4,$V2484-4,0))</f>
        <v/>
      </c>
      <c r="K2484" s="150"/>
      <c r="L2484" s="150"/>
      <c r="M2484" s="150"/>
      <c r="N2484" s="150"/>
      <c r="O2484" s="150"/>
      <c r="P2484" s="208"/>
      <c r="Q2484" s="151"/>
      <c r="R2484" s="149" t="str">
        <f ca="1">IF(ISERROR($V2484),"",OFFSET('Smelter Look-up'!$C$4,$V2484-4,0)&amp;"")</f>
        <v/>
      </c>
      <c r="S2484" s="155" t="str">
        <f t="shared" ca="1" si="194"/>
        <v/>
      </c>
      <c r="T2484" s="155" t="str">
        <f ca="1">IF(B2484="","",IF(ISERROR(MATCH($J2484,SorP!$B$1:$B$6226,0)),"",INDIRECT("'SorP'!$A$"&amp;MATCH($S2484&amp;$J2484,SorP!C:C,0))))</f>
        <v/>
      </c>
      <c r="U2484" s="168"/>
      <c r="V2484" s="169" t="e">
        <f>IF(C2484="",NA(),MATCH($B2484&amp;$C2484,'Smelter Look-up'!$J:$J,0))</f>
        <v>#N/A</v>
      </c>
      <c r="X2484" s="170">
        <f t="shared" ca="1" si="193"/>
        <v>0</v>
      </c>
      <c r="AB2484" s="313" t="str">
        <f t="shared" si="195"/>
        <v/>
      </c>
      <c r="AC2484" s="170" t="str">
        <f t="shared" si="196"/>
        <v/>
      </c>
      <c r="AD2484" s="170" t="str">
        <f t="shared" si="197"/>
        <v/>
      </c>
    </row>
    <row r="2485" spans="1:30" s="170" customFormat="1" ht="20.399999999999999">
      <c r="A2485" s="155"/>
      <c r="B2485" s="303"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5" t="str">
        <f ca="1">IF(ISERROR($V2485),"",OFFSET('Smelter Look-up'!$G$4,$V2485-4,0))</f>
        <v/>
      </c>
      <c r="I2485" s="206" t="str">
        <f ca="1">IF(ISERROR($V2485),"",OFFSET('Smelter Look-up'!$H$4,$V2485-4,0))</f>
        <v/>
      </c>
      <c r="J2485" s="206" t="str">
        <f ca="1">IF(ISERROR($V2485),"",OFFSET('Smelter Look-up'!$I$4,$V2485-4,0))</f>
        <v/>
      </c>
      <c r="K2485" s="150"/>
      <c r="L2485" s="150"/>
      <c r="M2485" s="150"/>
      <c r="N2485" s="150"/>
      <c r="O2485" s="150"/>
      <c r="P2485" s="208"/>
      <c r="Q2485" s="151"/>
      <c r="R2485" s="149" t="str">
        <f ca="1">IF(ISERROR($V2485),"",OFFSET('Smelter Look-up'!$C$4,$V2485-4,0)&amp;"")</f>
        <v/>
      </c>
      <c r="S2485" s="155" t="str">
        <f t="shared" ca="1" si="194"/>
        <v/>
      </c>
      <c r="T2485" s="155" t="str">
        <f ca="1">IF(B2485="","",IF(ISERROR(MATCH($J2485,SorP!$B$1:$B$6226,0)),"",INDIRECT("'SorP'!$A$"&amp;MATCH($S2485&amp;$J2485,SorP!C:C,0))))</f>
        <v/>
      </c>
      <c r="U2485" s="168"/>
      <c r="V2485" s="169" t="e">
        <f>IF(C2485="",NA(),MATCH($B2485&amp;$C2485,'Smelter Look-up'!$J:$J,0))</f>
        <v>#N/A</v>
      </c>
      <c r="X2485" s="170">
        <f t="shared" ca="1" si="193"/>
        <v>0</v>
      </c>
      <c r="AB2485" s="313" t="str">
        <f t="shared" si="195"/>
        <v/>
      </c>
      <c r="AC2485" s="170" t="str">
        <f t="shared" si="196"/>
        <v/>
      </c>
      <c r="AD2485" s="170" t="str">
        <f t="shared" si="197"/>
        <v/>
      </c>
    </row>
    <row r="2486" spans="1:30" s="170" customFormat="1" ht="20.399999999999999">
      <c r="A2486" s="155"/>
      <c r="B2486" s="303"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5" t="str">
        <f ca="1">IF(ISERROR($V2486),"",OFFSET('Smelter Look-up'!$G$4,$V2486-4,0))</f>
        <v/>
      </c>
      <c r="I2486" s="206" t="str">
        <f ca="1">IF(ISERROR($V2486),"",OFFSET('Smelter Look-up'!$H$4,$V2486-4,0))</f>
        <v/>
      </c>
      <c r="J2486" s="206" t="str">
        <f ca="1">IF(ISERROR($V2486),"",OFFSET('Smelter Look-up'!$I$4,$V2486-4,0))</f>
        <v/>
      </c>
      <c r="K2486" s="150"/>
      <c r="L2486" s="150"/>
      <c r="M2486" s="150"/>
      <c r="N2486" s="150"/>
      <c r="O2486" s="150"/>
      <c r="P2486" s="208"/>
      <c r="Q2486" s="151"/>
      <c r="R2486" s="149" t="str">
        <f ca="1">IF(ISERROR($V2486),"",OFFSET('Smelter Look-up'!$C$4,$V2486-4,0)&amp;"")</f>
        <v/>
      </c>
      <c r="S2486" s="155" t="str">
        <f t="shared" ca="1" si="194"/>
        <v/>
      </c>
      <c r="T2486" s="155" t="str">
        <f ca="1">IF(B2486="","",IF(ISERROR(MATCH($J2486,SorP!$B$1:$B$6226,0)),"",INDIRECT("'SorP'!$A$"&amp;MATCH($S2486&amp;$J2486,SorP!C:C,0))))</f>
        <v/>
      </c>
      <c r="U2486" s="168"/>
      <c r="V2486" s="169" t="e">
        <f>IF(C2486="",NA(),MATCH($B2486&amp;$C2486,'Smelter Look-up'!$J:$J,0))</f>
        <v>#N/A</v>
      </c>
      <c r="X2486" s="170">
        <f t="shared" ca="1" si="193"/>
        <v>0</v>
      </c>
      <c r="AB2486" s="313" t="str">
        <f t="shared" si="195"/>
        <v/>
      </c>
      <c r="AC2486" s="170" t="str">
        <f t="shared" si="196"/>
        <v/>
      </c>
      <c r="AD2486" s="170" t="str">
        <f t="shared" si="197"/>
        <v/>
      </c>
    </row>
    <row r="2487" spans="1:30" s="170" customFormat="1" ht="20.399999999999999">
      <c r="A2487" s="155"/>
      <c r="B2487" s="303"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5" t="str">
        <f ca="1">IF(ISERROR($V2487),"",OFFSET('Smelter Look-up'!$G$4,$V2487-4,0))</f>
        <v/>
      </c>
      <c r="I2487" s="206" t="str">
        <f ca="1">IF(ISERROR($V2487),"",OFFSET('Smelter Look-up'!$H$4,$V2487-4,0))</f>
        <v/>
      </c>
      <c r="J2487" s="206" t="str">
        <f ca="1">IF(ISERROR($V2487),"",OFFSET('Smelter Look-up'!$I$4,$V2487-4,0))</f>
        <v/>
      </c>
      <c r="K2487" s="150"/>
      <c r="L2487" s="150"/>
      <c r="M2487" s="150"/>
      <c r="N2487" s="150"/>
      <c r="O2487" s="150"/>
      <c r="P2487" s="208"/>
      <c r="Q2487" s="151"/>
      <c r="R2487" s="149" t="str">
        <f ca="1">IF(ISERROR($V2487),"",OFFSET('Smelter Look-up'!$C$4,$V2487-4,0)&amp;"")</f>
        <v/>
      </c>
      <c r="S2487" s="155" t="str">
        <f t="shared" ca="1" si="194"/>
        <v/>
      </c>
      <c r="T2487" s="155" t="str">
        <f ca="1">IF(B2487="","",IF(ISERROR(MATCH($J2487,SorP!$B$1:$B$6226,0)),"",INDIRECT("'SorP'!$A$"&amp;MATCH($S2487&amp;$J2487,SorP!C:C,0))))</f>
        <v/>
      </c>
      <c r="U2487" s="168"/>
      <c r="V2487" s="169" t="e">
        <f>IF(C2487="",NA(),MATCH($B2487&amp;$C2487,'Smelter Look-up'!$J:$J,0))</f>
        <v>#N/A</v>
      </c>
      <c r="X2487" s="170">
        <f t="shared" ca="1" si="193"/>
        <v>0</v>
      </c>
      <c r="AB2487" s="313" t="str">
        <f t="shared" si="195"/>
        <v/>
      </c>
      <c r="AC2487" s="170" t="str">
        <f t="shared" si="196"/>
        <v/>
      </c>
      <c r="AD2487" s="170" t="str">
        <f t="shared" si="197"/>
        <v/>
      </c>
    </row>
    <row r="2488" spans="1:30" s="170" customFormat="1" ht="20.399999999999999">
      <c r="A2488" s="155"/>
      <c r="B2488" s="303"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5" t="str">
        <f ca="1">IF(ISERROR($V2488),"",OFFSET('Smelter Look-up'!$G$4,$V2488-4,0))</f>
        <v/>
      </c>
      <c r="I2488" s="206" t="str">
        <f ca="1">IF(ISERROR($V2488),"",OFFSET('Smelter Look-up'!$H$4,$V2488-4,0))</f>
        <v/>
      </c>
      <c r="J2488" s="206" t="str">
        <f ca="1">IF(ISERROR($V2488),"",OFFSET('Smelter Look-up'!$I$4,$V2488-4,0))</f>
        <v/>
      </c>
      <c r="K2488" s="150"/>
      <c r="L2488" s="150"/>
      <c r="M2488" s="150"/>
      <c r="N2488" s="150"/>
      <c r="O2488" s="150"/>
      <c r="P2488" s="208"/>
      <c r="Q2488" s="151"/>
      <c r="R2488" s="149" t="str">
        <f ca="1">IF(ISERROR($V2488),"",OFFSET('Smelter Look-up'!$C$4,$V2488-4,0)&amp;"")</f>
        <v/>
      </c>
      <c r="S2488" s="155" t="str">
        <f t="shared" ca="1" si="194"/>
        <v/>
      </c>
      <c r="T2488" s="155" t="str">
        <f ca="1">IF(B2488="","",IF(ISERROR(MATCH($J2488,SorP!$B$1:$B$6226,0)),"",INDIRECT("'SorP'!$A$"&amp;MATCH($S2488&amp;$J2488,SorP!C:C,0))))</f>
        <v/>
      </c>
      <c r="U2488" s="168"/>
      <c r="V2488" s="169" t="e">
        <f>IF(C2488="",NA(),MATCH($B2488&amp;$C2488,'Smelter Look-up'!$J:$J,0))</f>
        <v>#N/A</v>
      </c>
      <c r="X2488" s="170">
        <f t="shared" ca="1" si="193"/>
        <v>0</v>
      </c>
      <c r="AB2488" s="313" t="str">
        <f t="shared" si="195"/>
        <v/>
      </c>
      <c r="AC2488" s="170" t="str">
        <f t="shared" si="196"/>
        <v/>
      </c>
      <c r="AD2488" s="170" t="str">
        <f t="shared" si="197"/>
        <v/>
      </c>
    </row>
    <row r="2489" spans="1:30" s="170" customFormat="1" ht="20.399999999999999">
      <c r="A2489" s="155"/>
      <c r="B2489" s="303"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5" t="str">
        <f ca="1">IF(ISERROR($V2489),"",OFFSET('Smelter Look-up'!$G$4,$V2489-4,0))</f>
        <v/>
      </c>
      <c r="I2489" s="206" t="str">
        <f ca="1">IF(ISERROR($V2489),"",OFFSET('Smelter Look-up'!$H$4,$V2489-4,0))</f>
        <v/>
      </c>
      <c r="J2489" s="206" t="str">
        <f ca="1">IF(ISERROR($V2489),"",OFFSET('Smelter Look-up'!$I$4,$V2489-4,0))</f>
        <v/>
      </c>
      <c r="K2489" s="150"/>
      <c r="L2489" s="150"/>
      <c r="M2489" s="150"/>
      <c r="N2489" s="150"/>
      <c r="O2489" s="150"/>
      <c r="P2489" s="208"/>
      <c r="Q2489" s="151"/>
      <c r="R2489" s="149" t="str">
        <f ca="1">IF(ISERROR($V2489),"",OFFSET('Smelter Look-up'!$C$4,$V2489-4,0)&amp;"")</f>
        <v/>
      </c>
      <c r="S2489" s="155" t="str">
        <f t="shared" ca="1" si="194"/>
        <v/>
      </c>
      <c r="T2489" s="155" t="str">
        <f ca="1">IF(B2489="","",IF(ISERROR(MATCH($J2489,SorP!$B$1:$B$6226,0)),"",INDIRECT("'SorP'!$A$"&amp;MATCH($S2489&amp;$J2489,SorP!C:C,0))))</f>
        <v/>
      </c>
      <c r="U2489" s="168"/>
      <c r="V2489" s="169" t="e">
        <f>IF(C2489="",NA(),MATCH($B2489&amp;$C2489,'Smelter Look-up'!$J:$J,0))</f>
        <v>#N/A</v>
      </c>
      <c r="X2489" s="170">
        <f t="shared" ca="1" si="193"/>
        <v>0</v>
      </c>
      <c r="AB2489" s="313" t="str">
        <f t="shared" si="195"/>
        <v/>
      </c>
      <c r="AC2489" s="170" t="str">
        <f t="shared" si="196"/>
        <v/>
      </c>
      <c r="AD2489" s="170" t="str">
        <f t="shared" si="197"/>
        <v/>
      </c>
    </row>
    <row r="2490" spans="1:30" s="170" customFormat="1" ht="20.399999999999999">
      <c r="A2490" s="155"/>
      <c r="B2490" s="303"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5" t="str">
        <f ca="1">IF(ISERROR($V2490),"",OFFSET('Smelter Look-up'!$G$4,$V2490-4,0))</f>
        <v/>
      </c>
      <c r="I2490" s="206" t="str">
        <f ca="1">IF(ISERROR($V2490),"",OFFSET('Smelter Look-up'!$H$4,$V2490-4,0))</f>
        <v/>
      </c>
      <c r="J2490" s="206" t="str">
        <f ca="1">IF(ISERROR($V2490),"",OFFSET('Smelter Look-up'!$I$4,$V2490-4,0))</f>
        <v/>
      </c>
      <c r="K2490" s="150"/>
      <c r="L2490" s="150"/>
      <c r="M2490" s="150"/>
      <c r="N2490" s="150"/>
      <c r="O2490" s="150"/>
      <c r="P2490" s="208"/>
      <c r="Q2490" s="151"/>
      <c r="R2490" s="149" t="str">
        <f ca="1">IF(ISERROR($V2490),"",OFFSET('Smelter Look-up'!$C$4,$V2490-4,0)&amp;"")</f>
        <v/>
      </c>
      <c r="S2490" s="155" t="str">
        <f t="shared" ca="1" si="194"/>
        <v/>
      </c>
      <c r="T2490" s="155" t="str">
        <f ca="1">IF(B2490="","",IF(ISERROR(MATCH($J2490,SorP!$B$1:$B$6226,0)),"",INDIRECT("'SorP'!$A$"&amp;MATCH($S2490&amp;$J2490,SorP!C:C,0))))</f>
        <v/>
      </c>
      <c r="U2490" s="168"/>
      <c r="V2490" s="169" t="e">
        <f>IF(C2490="",NA(),MATCH($B2490&amp;$C2490,'Smelter Look-up'!$J:$J,0))</f>
        <v>#N/A</v>
      </c>
      <c r="X2490" s="170">
        <f t="shared" ca="1" si="193"/>
        <v>0</v>
      </c>
      <c r="AB2490" s="313" t="str">
        <f t="shared" si="195"/>
        <v/>
      </c>
      <c r="AC2490" s="170" t="str">
        <f t="shared" si="196"/>
        <v/>
      </c>
      <c r="AD2490" s="170" t="str">
        <f t="shared" si="197"/>
        <v/>
      </c>
    </row>
    <row r="2491" spans="1:30" s="170" customFormat="1" ht="20.399999999999999">
      <c r="A2491" s="155"/>
      <c r="B2491" s="303"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5" t="str">
        <f ca="1">IF(ISERROR($V2491),"",OFFSET('Smelter Look-up'!$G$4,$V2491-4,0))</f>
        <v/>
      </c>
      <c r="I2491" s="206" t="str">
        <f ca="1">IF(ISERROR($V2491),"",OFFSET('Smelter Look-up'!$H$4,$V2491-4,0))</f>
        <v/>
      </c>
      <c r="J2491" s="206" t="str">
        <f ca="1">IF(ISERROR($V2491),"",OFFSET('Smelter Look-up'!$I$4,$V2491-4,0))</f>
        <v/>
      </c>
      <c r="K2491" s="150"/>
      <c r="L2491" s="150"/>
      <c r="M2491" s="150"/>
      <c r="N2491" s="150"/>
      <c r="O2491" s="150"/>
      <c r="P2491" s="208"/>
      <c r="Q2491" s="151"/>
      <c r="R2491" s="149" t="str">
        <f ca="1">IF(ISERROR($V2491),"",OFFSET('Smelter Look-up'!$C$4,$V2491-4,0)&amp;"")</f>
        <v/>
      </c>
      <c r="S2491" s="155" t="str">
        <f t="shared" ca="1" si="194"/>
        <v/>
      </c>
      <c r="T2491" s="155" t="str">
        <f ca="1">IF(B2491="","",IF(ISERROR(MATCH($J2491,SorP!$B$1:$B$6226,0)),"",INDIRECT("'SorP'!$A$"&amp;MATCH($S2491&amp;$J2491,SorP!C:C,0))))</f>
        <v/>
      </c>
      <c r="U2491" s="168"/>
      <c r="V2491" s="169" t="e">
        <f>IF(C2491="",NA(),MATCH($B2491&amp;$C2491,'Smelter Look-up'!$J:$J,0))</f>
        <v>#N/A</v>
      </c>
      <c r="X2491" s="170">
        <f t="shared" ca="1" si="193"/>
        <v>0</v>
      </c>
      <c r="AB2491" s="313" t="str">
        <f t="shared" si="195"/>
        <v/>
      </c>
      <c r="AC2491" s="170" t="str">
        <f t="shared" si="196"/>
        <v/>
      </c>
      <c r="AD2491" s="170" t="str">
        <f t="shared" si="197"/>
        <v/>
      </c>
    </row>
    <row r="2492" spans="1:30" s="170" customFormat="1" ht="20.399999999999999">
      <c r="A2492" s="155"/>
      <c r="B2492" s="303"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5" t="str">
        <f ca="1">IF(ISERROR($V2492),"",OFFSET('Smelter Look-up'!$G$4,$V2492-4,0))</f>
        <v/>
      </c>
      <c r="I2492" s="206" t="str">
        <f ca="1">IF(ISERROR($V2492),"",OFFSET('Smelter Look-up'!$H$4,$V2492-4,0))</f>
        <v/>
      </c>
      <c r="J2492" s="206" t="str">
        <f ca="1">IF(ISERROR($V2492),"",OFFSET('Smelter Look-up'!$I$4,$V2492-4,0))</f>
        <v/>
      </c>
      <c r="K2492" s="150"/>
      <c r="L2492" s="150"/>
      <c r="M2492" s="150"/>
      <c r="N2492" s="150"/>
      <c r="O2492" s="150"/>
      <c r="P2492" s="208"/>
      <c r="Q2492" s="151"/>
      <c r="R2492" s="149" t="str">
        <f ca="1">IF(ISERROR($V2492),"",OFFSET('Smelter Look-up'!$C$4,$V2492-4,0)&amp;"")</f>
        <v/>
      </c>
      <c r="S2492" s="155" t="str">
        <f t="shared" ca="1" si="194"/>
        <v/>
      </c>
      <c r="T2492" s="155" t="str">
        <f ca="1">IF(B2492="","",IF(ISERROR(MATCH($J2492,SorP!$B$1:$B$6226,0)),"",INDIRECT("'SorP'!$A$"&amp;MATCH($S2492&amp;$J2492,SorP!C:C,0))))</f>
        <v/>
      </c>
      <c r="U2492" s="168"/>
      <c r="V2492" s="169" t="e">
        <f>IF(C2492="",NA(),MATCH($B2492&amp;$C2492,'Smelter Look-up'!$J:$J,0))</f>
        <v>#N/A</v>
      </c>
      <c r="X2492" s="170">
        <f t="shared" ca="1" si="193"/>
        <v>0</v>
      </c>
      <c r="AB2492" s="313" t="str">
        <f t="shared" si="195"/>
        <v/>
      </c>
      <c r="AC2492" s="170" t="str">
        <f t="shared" si="196"/>
        <v/>
      </c>
      <c r="AD2492" s="170" t="str">
        <f t="shared" si="197"/>
        <v/>
      </c>
    </row>
    <row r="2493" spans="1:30" s="170" customFormat="1" ht="20.399999999999999">
      <c r="A2493" s="155"/>
      <c r="B2493" s="303"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5" t="str">
        <f ca="1">IF(ISERROR($V2493),"",OFFSET('Smelter Look-up'!$G$4,$V2493-4,0))</f>
        <v/>
      </c>
      <c r="I2493" s="206" t="str">
        <f ca="1">IF(ISERROR($V2493),"",OFFSET('Smelter Look-up'!$H$4,$V2493-4,0))</f>
        <v/>
      </c>
      <c r="J2493" s="206" t="str">
        <f ca="1">IF(ISERROR($V2493),"",OFFSET('Smelter Look-up'!$I$4,$V2493-4,0))</f>
        <v/>
      </c>
      <c r="K2493" s="150"/>
      <c r="L2493" s="150"/>
      <c r="M2493" s="150"/>
      <c r="N2493" s="150"/>
      <c r="O2493" s="150"/>
      <c r="P2493" s="208"/>
      <c r="Q2493" s="151"/>
      <c r="R2493" s="149" t="str">
        <f ca="1">IF(ISERROR($V2493),"",OFFSET('Smelter Look-up'!$C$4,$V2493-4,0)&amp;"")</f>
        <v/>
      </c>
      <c r="S2493" s="155" t="str">
        <f t="shared" ca="1" si="194"/>
        <v/>
      </c>
      <c r="T2493" s="155" t="str">
        <f ca="1">IF(B2493="","",IF(ISERROR(MATCH($J2493,SorP!$B$1:$B$6226,0)),"",INDIRECT("'SorP'!$A$"&amp;MATCH($S2493&amp;$J2493,SorP!C:C,0))))</f>
        <v/>
      </c>
      <c r="U2493" s="168"/>
      <c r="V2493" s="169" t="e">
        <f>IF(C2493="",NA(),MATCH($B2493&amp;$C2493,'Smelter Look-up'!$J:$J,0))</f>
        <v>#N/A</v>
      </c>
      <c r="X2493" s="170">
        <f t="shared" ca="1" si="193"/>
        <v>0</v>
      </c>
      <c r="AB2493" s="313" t="str">
        <f t="shared" si="195"/>
        <v/>
      </c>
      <c r="AC2493" s="170" t="str">
        <f t="shared" si="196"/>
        <v/>
      </c>
      <c r="AD2493" s="170" t="str">
        <f t="shared" si="197"/>
        <v/>
      </c>
    </row>
    <row r="2494" spans="1:30" s="170" customFormat="1" ht="20.399999999999999">
      <c r="A2494" s="155"/>
      <c r="B2494" s="303"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5" t="str">
        <f ca="1">IF(ISERROR($V2494),"",OFFSET('Smelter Look-up'!$G$4,$V2494-4,0))</f>
        <v/>
      </c>
      <c r="I2494" s="206" t="str">
        <f ca="1">IF(ISERROR($V2494),"",OFFSET('Smelter Look-up'!$H$4,$V2494-4,0))</f>
        <v/>
      </c>
      <c r="J2494" s="206" t="str">
        <f ca="1">IF(ISERROR($V2494),"",OFFSET('Smelter Look-up'!$I$4,$V2494-4,0))</f>
        <v/>
      </c>
      <c r="K2494" s="150"/>
      <c r="L2494" s="150"/>
      <c r="M2494" s="150"/>
      <c r="N2494" s="150"/>
      <c r="O2494" s="150"/>
      <c r="P2494" s="208"/>
      <c r="Q2494" s="151"/>
      <c r="R2494" s="149" t="str">
        <f ca="1">IF(ISERROR($V2494),"",OFFSET('Smelter Look-up'!$C$4,$V2494-4,0)&amp;"")</f>
        <v/>
      </c>
      <c r="S2494" s="155" t="str">
        <f t="shared" ca="1" si="194"/>
        <v/>
      </c>
      <c r="T2494" s="155" t="str">
        <f ca="1">IF(B2494="","",IF(ISERROR(MATCH($J2494,SorP!$B$1:$B$6226,0)),"",INDIRECT("'SorP'!$A$"&amp;MATCH($S2494&amp;$J2494,SorP!C:C,0))))</f>
        <v/>
      </c>
      <c r="U2494" s="168"/>
      <c r="V2494" s="169" t="e">
        <f>IF(C2494="",NA(),MATCH($B2494&amp;$C2494,'Smelter Look-up'!$J:$J,0))</f>
        <v>#N/A</v>
      </c>
      <c r="X2494" s="170">
        <f t="shared" ca="1" si="193"/>
        <v>0</v>
      </c>
      <c r="AB2494" s="313" t="str">
        <f t="shared" si="195"/>
        <v/>
      </c>
      <c r="AC2494" s="170" t="str">
        <f t="shared" si="196"/>
        <v/>
      </c>
      <c r="AD2494" s="170" t="str">
        <f t="shared" si="197"/>
        <v/>
      </c>
    </row>
    <row r="2495" spans="1:30" s="170" customFormat="1" ht="20.399999999999999">
      <c r="A2495" s="155"/>
      <c r="B2495" s="303"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5" t="str">
        <f ca="1">IF(ISERROR($V2495),"",OFFSET('Smelter Look-up'!$G$4,$V2495-4,0))</f>
        <v/>
      </c>
      <c r="I2495" s="206" t="str">
        <f ca="1">IF(ISERROR($V2495),"",OFFSET('Smelter Look-up'!$H$4,$V2495-4,0))</f>
        <v/>
      </c>
      <c r="J2495" s="206" t="str">
        <f ca="1">IF(ISERROR($V2495),"",OFFSET('Smelter Look-up'!$I$4,$V2495-4,0))</f>
        <v/>
      </c>
      <c r="K2495" s="150"/>
      <c r="L2495" s="150"/>
      <c r="M2495" s="150"/>
      <c r="N2495" s="150"/>
      <c r="O2495" s="150"/>
      <c r="P2495" s="208"/>
      <c r="Q2495" s="151"/>
      <c r="R2495" s="149" t="str">
        <f ca="1">IF(ISERROR($V2495),"",OFFSET('Smelter Look-up'!$C$4,$V2495-4,0)&amp;"")</f>
        <v/>
      </c>
      <c r="S2495" s="155" t="str">
        <f t="shared" ca="1" si="194"/>
        <v/>
      </c>
      <c r="T2495" s="155" t="str">
        <f ca="1">IF(B2495="","",IF(ISERROR(MATCH($J2495,SorP!$B$1:$B$6226,0)),"",INDIRECT("'SorP'!$A$"&amp;MATCH($S2495&amp;$J2495,SorP!C:C,0))))</f>
        <v/>
      </c>
      <c r="U2495" s="168"/>
      <c r="V2495" s="169" t="e">
        <f>IF(C2495="",NA(),MATCH($B2495&amp;$C2495,'Smelter Look-up'!$J:$J,0))</f>
        <v>#N/A</v>
      </c>
      <c r="X2495" s="170">
        <f t="shared" ref="X2495:X2504" ca="1" si="198">IF(AND(C2495="Smelter not listed",OR(LEN(D2495)=0,LEN(E2495)=0)),1,0)</f>
        <v>0</v>
      </c>
      <c r="AB2495" s="313" t="str">
        <f t="shared" si="195"/>
        <v/>
      </c>
      <c r="AC2495" s="170" t="str">
        <f t="shared" si="196"/>
        <v/>
      </c>
      <c r="AD2495" s="170" t="str">
        <f t="shared" si="197"/>
        <v/>
      </c>
    </row>
    <row r="2496" spans="1:30" s="170" customFormat="1" ht="20.399999999999999">
      <c r="A2496" s="155"/>
      <c r="B2496" s="303"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5" t="str">
        <f ca="1">IF(ISERROR($V2496),"",OFFSET('Smelter Look-up'!$G$4,$V2496-4,0))</f>
        <v/>
      </c>
      <c r="I2496" s="206" t="str">
        <f ca="1">IF(ISERROR($V2496),"",OFFSET('Smelter Look-up'!$H$4,$V2496-4,0))</f>
        <v/>
      </c>
      <c r="J2496" s="206" t="str">
        <f ca="1">IF(ISERROR($V2496),"",OFFSET('Smelter Look-up'!$I$4,$V2496-4,0))</f>
        <v/>
      </c>
      <c r="K2496" s="150"/>
      <c r="L2496" s="150"/>
      <c r="M2496" s="150"/>
      <c r="N2496" s="150"/>
      <c r="O2496" s="150"/>
      <c r="P2496" s="208"/>
      <c r="Q2496" s="151"/>
      <c r="R2496" s="149" t="str">
        <f ca="1">IF(ISERROR($V2496),"",OFFSET('Smelter Look-up'!$C$4,$V2496-4,0)&amp;"")</f>
        <v/>
      </c>
      <c r="S2496" s="155" t="str">
        <f t="shared" ca="1" si="194"/>
        <v/>
      </c>
      <c r="T2496" s="155" t="str">
        <f ca="1">IF(B2496="","",IF(ISERROR(MATCH($J2496,SorP!$B$1:$B$6226,0)),"",INDIRECT("'SorP'!$A$"&amp;MATCH($S2496&amp;$J2496,SorP!C:C,0))))</f>
        <v/>
      </c>
      <c r="U2496" s="168"/>
      <c r="V2496" s="169" t="e">
        <f>IF(C2496="",NA(),MATCH($B2496&amp;$C2496,'Smelter Look-up'!$J:$J,0))</f>
        <v>#N/A</v>
      </c>
      <c r="X2496" s="170">
        <f t="shared" ca="1" si="198"/>
        <v>0</v>
      </c>
      <c r="AB2496" s="313" t="str">
        <f t="shared" si="195"/>
        <v/>
      </c>
      <c r="AC2496" s="170" t="str">
        <f t="shared" si="196"/>
        <v/>
      </c>
      <c r="AD2496" s="170" t="str">
        <f t="shared" si="197"/>
        <v/>
      </c>
    </row>
    <row r="2497" spans="1:35" s="170" customFormat="1" ht="20.399999999999999">
      <c r="A2497" s="155"/>
      <c r="B2497" s="303"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5" t="str">
        <f ca="1">IF(ISERROR($V2497),"",OFFSET('Smelter Look-up'!$G$4,$V2497-4,0))</f>
        <v/>
      </c>
      <c r="I2497" s="206" t="str">
        <f ca="1">IF(ISERROR($V2497),"",OFFSET('Smelter Look-up'!$H$4,$V2497-4,0))</f>
        <v/>
      </c>
      <c r="J2497" s="206" t="str">
        <f ca="1">IF(ISERROR($V2497),"",OFFSET('Smelter Look-up'!$I$4,$V2497-4,0))</f>
        <v/>
      </c>
      <c r="K2497" s="150"/>
      <c r="L2497" s="150"/>
      <c r="M2497" s="150"/>
      <c r="N2497" s="150"/>
      <c r="O2497" s="150"/>
      <c r="P2497" s="208"/>
      <c r="Q2497" s="151"/>
      <c r="R2497" s="149" t="str">
        <f ca="1">IF(ISERROR($V2497),"",OFFSET('Smelter Look-up'!$C$4,$V2497-4,0)&amp;"")</f>
        <v/>
      </c>
      <c r="S2497" s="155" t="str">
        <f t="shared" ca="1" si="194"/>
        <v/>
      </c>
      <c r="T2497" s="155" t="str">
        <f ca="1">IF(B2497="","",IF(ISERROR(MATCH($J2497,SorP!$B$1:$B$6226,0)),"",INDIRECT("'SorP'!$A$"&amp;MATCH($S2497&amp;$J2497,SorP!C:C,0))))</f>
        <v/>
      </c>
      <c r="U2497" s="168"/>
      <c r="V2497" s="169" t="e">
        <f>IF(C2497="",NA(),MATCH($B2497&amp;$C2497,'Smelter Look-up'!$J:$J,0))</f>
        <v>#N/A</v>
      </c>
      <c r="X2497" s="170">
        <f t="shared" ca="1" si="198"/>
        <v>0</v>
      </c>
      <c r="AB2497" s="313" t="str">
        <f t="shared" si="195"/>
        <v/>
      </c>
      <c r="AC2497" s="170" t="str">
        <f t="shared" si="196"/>
        <v/>
      </c>
      <c r="AD2497" s="170" t="str">
        <f t="shared" si="197"/>
        <v/>
      </c>
    </row>
    <row r="2498" spans="1:35" ht="20.399999999999999">
      <c r="A2498" s="204"/>
      <c r="B2498" s="303"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5" t="str">
        <f ca="1">IF(ISERROR($V2498),"",OFFSET('Smelter Look-up'!$G$4,$V2498-4,0))</f>
        <v/>
      </c>
      <c r="I2498" s="206" t="str">
        <f ca="1">IF(ISERROR($V2498),"",OFFSET('Smelter Look-up'!$H$4,$V2498-4,0))</f>
        <v/>
      </c>
      <c r="J2498" s="206" t="str">
        <f ca="1">IF(ISERROR($V2498),"",OFFSET('Smelter Look-up'!$I$4,$V2498-4,0))</f>
        <v/>
      </c>
      <c r="K2498" s="207"/>
      <c r="L2498" s="207"/>
      <c r="M2498" s="207"/>
      <c r="N2498" s="207"/>
      <c r="O2498" s="207"/>
      <c r="P2498" s="208"/>
      <c r="Q2498" s="209"/>
      <c r="R2498" s="149" t="str">
        <f ca="1">IF(ISERROR($V2498),"",OFFSET('Smelter Look-up'!$C$4,$V2498-4,0)&amp;"")</f>
        <v/>
      </c>
      <c r="S2498" s="155" t="str">
        <f t="shared" ref="S2498:S2503" ca="1" si="199">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98"/>
        <v>0</v>
      </c>
      <c r="Y2498" s="170"/>
      <c r="Z2498" s="170"/>
      <c r="AA2498" s="170"/>
      <c r="AB2498" s="313" t="str">
        <f t="shared" si="195"/>
        <v/>
      </c>
      <c r="AC2498" s="170" t="str">
        <f t="shared" si="196"/>
        <v/>
      </c>
      <c r="AD2498" s="170" t="str">
        <f t="shared" si="197"/>
        <v/>
      </c>
      <c r="AE2498" s="170"/>
      <c r="AF2498" s="170"/>
      <c r="AG2498" s="170"/>
      <c r="AH2498" s="170"/>
      <c r="AI2498" s="170"/>
    </row>
    <row r="2499" spans="1:35" ht="20.399999999999999">
      <c r="A2499" s="155"/>
      <c r="B2499" s="304" t="str">
        <f>IF(LEN(A2499)=0,"",INDEX('Smelter Look-up'!$A:$A,MATCH($A2499,'Smelter Look-up'!$E:$E,0)))</f>
        <v/>
      </c>
      <c r="C2499" s="152" t="str">
        <f>IF(LEN(A2499)=0,"",INDEX('Smelter Look-up'!$C:$C,MATCH($A2499,'Smelter Look-up'!$E:$E,0)))</f>
        <v/>
      </c>
      <c r="D2499" s="235"/>
      <c r="E2499" s="235" t="str">
        <f ca="1">IF(ISERROR($V2499),"",OFFSET('Smelter Look-up'!$D$4,$V2499-4,0)&amp;"")</f>
        <v/>
      </c>
      <c r="F2499" s="235" t="str">
        <f ca="1">IF(ISERROR($V2499),"",OFFSET('Smelter Look-up'!$E$4,$V2499-4,0))</f>
        <v/>
      </c>
      <c r="G2499" s="235" t="str">
        <f ca="1">IF(C2499=$X$4,"Enter smelter details",IF(ISERROR($V2499),"",OFFSET('Smelter Look-up'!$F$4,$V2499-4,0)))</f>
        <v/>
      </c>
      <c r="H2499" s="205" t="str">
        <f ca="1">IF(ISERROR($V2499),"",OFFSET('Smelter Look-up'!$G$4,$V2499-4,0))</f>
        <v/>
      </c>
      <c r="I2499" s="206" t="str">
        <f ca="1">IF(ISERROR($V2499),"",OFFSET('Smelter Look-up'!$H$4,$V2499-4,0))</f>
        <v/>
      </c>
      <c r="J2499" s="206" t="str">
        <f ca="1">IF(ISERROR($V2499),"",OFFSET('Smelter Look-up'!$I$4,$V2499-4,0))</f>
        <v/>
      </c>
      <c r="K2499" s="150"/>
      <c r="L2499" s="150"/>
      <c r="M2499" s="150"/>
      <c r="N2499" s="150"/>
      <c r="O2499" s="150"/>
      <c r="P2499" s="236"/>
      <c r="Q2499" s="151"/>
      <c r="R2499" s="234" t="str">
        <f ca="1">IF(ISERROR($V2499),"",OFFSET('Smelter Look-up'!$C$4,$V2499-4,0)&amp;"")</f>
        <v/>
      </c>
      <c r="S2499" s="155" t="str">
        <f t="shared" ca="1" si="199"/>
        <v/>
      </c>
      <c r="T2499" s="155" t="str">
        <f ca="1">IF(B2499="","",IF(ISERROR(MATCH($J2499,SorP!$B$1:$B$6226,0)),"",INDIRECT("'SorP'!$A$"&amp;MATCH($S2499&amp;$J2499,SorP!C:C,0))))</f>
        <v/>
      </c>
      <c r="U2499" s="168"/>
      <c r="V2499" s="169" t="e">
        <f>IF(C2499="",NA(),MATCH($B2499&amp;$C2499,'Smelter Look-up'!$J:$J,0))</f>
        <v>#N/A</v>
      </c>
      <c r="W2499" s="170"/>
      <c r="X2499" s="170">
        <f t="shared" ca="1" si="198"/>
        <v>0</v>
      </c>
      <c r="Y2499" s="170"/>
      <c r="Z2499" s="170"/>
      <c r="AA2499" s="170"/>
      <c r="AB2499" s="313" t="str">
        <f t="shared" si="195"/>
        <v/>
      </c>
      <c r="AC2499" s="170" t="str">
        <f t="shared" si="196"/>
        <v/>
      </c>
      <c r="AD2499" s="170" t="str">
        <f t="shared" si="197"/>
        <v/>
      </c>
      <c r="AE2499" s="170"/>
      <c r="AF2499" s="170"/>
      <c r="AG2499" s="170"/>
      <c r="AH2499" s="170"/>
      <c r="AI2499" s="170"/>
    </row>
    <row r="2500" spans="1:35" ht="20.399999999999999">
      <c r="A2500" s="204"/>
      <c r="B2500" s="304" t="str">
        <f>IF(LEN(A2500)=0,"",INDEX('Smelter Look-up'!$A:$A,MATCH($A2500,'Smelter Look-up'!$E:$E,0)))</f>
        <v/>
      </c>
      <c r="C2500" s="152" t="str">
        <f>IF(LEN(A2500)=0,"",INDEX('Smelter Look-up'!$C:$C,MATCH($A2500,'Smelter Look-up'!$E:$E,0)))</f>
        <v/>
      </c>
      <c r="D2500" s="149"/>
      <c r="E2500" s="235" t="str">
        <f ca="1">IF(ISERROR($V2500),"",OFFSET('Smelter Look-up'!$D$4,$V2500-4,0)&amp;"")</f>
        <v/>
      </c>
      <c r="F2500" s="235" t="str">
        <f ca="1">IF(ISERROR($V2500),"",OFFSET('Smelter Look-up'!$E$4,$V2500-4,0))</f>
        <v/>
      </c>
      <c r="G2500" s="235" t="str">
        <f ca="1">IF(C2500=$X$4,"Enter smelter details",IF(ISERROR($V2500),"",OFFSET('Smelter Look-up'!$F$4,$V2500-4,0)))</f>
        <v/>
      </c>
      <c r="H2500" s="205" t="str">
        <f ca="1">IF(ISERROR($V2500),"",OFFSET('Smelter Look-up'!$G$4,$V2500-4,0))</f>
        <v/>
      </c>
      <c r="I2500" s="206" t="str">
        <f ca="1">IF(ISERROR($V2500),"",OFFSET('Smelter Look-up'!$H$4,$V2500-4,0))</f>
        <v/>
      </c>
      <c r="J2500" s="206" t="str">
        <f ca="1">IF(ISERROR($V2500),"",OFFSET('Smelter Look-up'!$I$4,$V2500-4,0))</f>
        <v/>
      </c>
      <c r="K2500" s="207"/>
      <c r="L2500" s="207"/>
      <c r="M2500" s="207"/>
      <c r="N2500" s="207"/>
      <c r="O2500" s="207"/>
      <c r="P2500" s="370"/>
      <c r="Q2500" s="209"/>
      <c r="R2500" s="234" t="str">
        <f ca="1">IF(ISERROR($V2500),"",OFFSET('Smelter Look-up'!$C$4,$V2500-4,0)&amp;"")</f>
        <v/>
      </c>
      <c r="S2500" s="155" t="str">
        <f t="shared" ca="1" si="199"/>
        <v/>
      </c>
      <c r="T2500" s="155" t="str">
        <f ca="1">IF(B2500="","",IF(ISERROR(MATCH($J2500,SorP!$B$1:$B$6226,0)),"",INDIRECT("'SorP'!$A$"&amp;MATCH($S2500&amp;$J2500,SorP!C:C,0))))</f>
        <v/>
      </c>
      <c r="U2500" s="168"/>
      <c r="V2500" s="169" t="e">
        <f>IF(C2500="",NA(),MATCH($B2500&amp;$C2500,'Smelter Look-up'!$J:$J,0))</f>
        <v>#N/A</v>
      </c>
      <c r="W2500" s="170"/>
      <c r="X2500" s="170">
        <f t="shared" ca="1" si="198"/>
        <v>0</v>
      </c>
      <c r="Y2500" s="170"/>
      <c r="Z2500" s="170"/>
      <c r="AA2500" s="170"/>
      <c r="AB2500" s="313" t="str">
        <f t="shared" si="195"/>
        <v/>
      </c>
      <c r="AC2500" s="170" t="str">
        <f t="shared" si="196"/>
        <v/>
      </c>
      <c r="AD2500" s="170" t="str">
        <f t="shared" si="197"/>
        <v/>
      </c>
      <c r="AE2500" s="170"/>
      <c r="AF2500" s="170"/>
      <c r="AG2500" s="170"/>
      <c r="AH2500" s="170"/>
      <c r="AI2500" s="170"/>
    </row>
    <row r="2501" spans="1:35" ht="20.399999999999999">
      <c r="A2501" s="204"/>
      <c r="B2501" s="304" t="str">
        <f>IF(LEN(A2501)=0,"",INDEX('Smelter Look-up'!$A:$A,MATCH($A2501,'Smelter Look-up'!$E:$E,0)))</f>
        <v/>
      </c>
      <c r="C2501" s="152" t="str">
        <f>IF(LEN(A2501)=0,"",INDEX('Smelter Look-up'!$C:$C,MATCH($A2501,'Smelter Look-up'!$E:$E,0)))</f>
        <v/>
      </c>
      <c r="D2501" s="149"/>
      <c r="E2501" s="235" t="str">
        <f ca="1">IF(ISERROR($V2501),"",OFFSET('Smelter Look-up'!$D$4,$V2501-4,0)&amp;"")</f>
        <v/>
      </c>
      <c r="F2501" s="235" t="str">
        <f ca="1">IF(ISERROR($V2501),"",OFFSET('Smelter Look-up'!$E$4,$V2501-4,0))</f>
        <v/>
      </c>
      <c r="G2501" s="235" t="str">
        <f ca="1">IF(C2501=$X$4,"Enter smelter details",IF(ISERROR($V2501),"",OFFSET('Smelter Look-up'!$F$4,$V2501-4,0)))</f>
        <v/>
      </c>
      <c r="H2501" s="205" t="str">
        <f ca="1">IF(ISERROR($V2501),"",OFFSET('Smelter Look-up'!$G$4,$V2501-4,0))</f>
        <v/>
      </c>
      <c r="I2501" s="206" t="str">
        <f ca="1">IF(ISERROR($V2501),"",OFFSET('Smelter Look-up'!$H$4,$V2501-4,0))</f>
        <v/>
      </c>
      <c r="J2501" s="206" t="str">
        <f ca="1">IF(ISERROR($V2501),"",OFFSET('Smelter Look-up'!$I$4,$V2501-4,0))</f>
        <v/>
      </c>
      <c r="K2501" s="207"/>
      <c r="L2501" s="207"/>
      <c r="M2501" s="207"/>
      <c r="N2501" s="207"/>
      <c r="O2501" s="207"/>
      <c r="P2501" s="370"/>
      <c r="Q2501" s="209"/>
      <c r="R2501" s="234" t="str">
        <f ca="1">IF(ISERROR($V2501),"",OFFSET('Smelter Look-up'!$C$4,$V2501-4,0)&amp;"")</f>
        <v/>
      </c>
      <c r="S2501" s="155" t="str">
        <f t="shared" ca="1" si="199"/>
        <v/>
      </c>
      <c r="T2501" s="155" t="str">
        <f ca="1">IF(B2501="","",IF(ISERROR(MATCH($J2501,SorP!$B$1:$B$6226,0)),"",INDIRECT("'SorP'!$A$"&amp;MATCH($S2501&amp;$J2501,SorP!C:C,0))))</f>
        <v/>
      </c>
      <c r="U2501" s="168"/>
      <c r="V2501" s="169" t="e">
        <f>IF(C2501="",NA(),MATCH($B2501&amp;$C2501,'Smelter Look-up'!$J:$J,0))</f>
        <v>#N/A</v>
      </c>
      <c r="W2501" s="170"/>
      <c r="X2501" s="170">
        <f t="shared" ca="1" si="198"/>
        <v>0</v>
      </c>
      <c r="Y2501" s="170"/>
      <c r="Z2501" s="170"/>
      <c r="AA2501" s="170"/>
      <c r="AB2501" s="313" t="str">
        <f t="shared" si="195"/>
        <v/>
      </c>
      <c r="AC2501" s="170" t="str">
        <f t="shared" si="196"/>
        <v/>
      </c>
      <c r="AD2501" s="170" t="str">
        <f t="shared" si="197"/>
        <v/>
      </c>
      <c r="AE2501" s="170"/>
      <c r="AF2501" s="170"/>
      <c r="AG2501" s="170"/>
      <c r="AH2501" s="170"/>
      <c r="AI2501" s="170"/>
    </row>
    <row r="2502" spans="1:35" ht="20.399999999999999">
      <c r="A2502" s="204"/>
      <c r="B2502" s="304" t="str">
        <f>IF(LEN(A2502)=0,"",INDEX('Smelter Look-up'!$A:$A,MATCH($A2502,'Smelter Look-up'!$E:$E,0)))</f>
        <v/>
      </c>
      <c r="C2502" s="152" t="str">
        <f>IF(LEN(A2502)=0,"",INDEX('Smelter Look-up'!$C:$C,MATCH($A2502,'Smelter Look-up'!$E:$E,0)))</f>
        <v/>
      </c>
      <c r="D2502" s="149"/>
      <c r="E2502" s="235" t="str">
        <f ca="1">IF(ISERROR($V2502),"",OFFSET('Smelter Look-up'!$D$4,$V2502-4,0)&amp;"")</f>
        <v/>
      </c>
      <c r="F2502" s="235" t="str">
        <f ca="1">IF(ISERROR($V2502),"",OFFSET('Smelter Look-up'!$E$4,$V2502-4,0))</f>
        <v/>
      </c>
      <c r="G2502" s="235" t="str">
        <f ca="1">IF(C2502=$X$4,"Enter smelter details",IF(ISERROR($V2502),"",OFFSET('Smelter Look-up'!$F$4,$V2502-4,0)))</f>
        <v/>
      </c>
      <c r="H2502" s="205" t="str">
        <f ca="1">IF(ISERROR($V2502),"",OFFSET('Smelter Look-up'!$G$4,$V2502-4,0))</f>
        <v/>
      </c>
      <c r="I2502" s="206" t="str">
        <f ca="1">IF(ISERROR($V2502),"",OFFSET('Smelter Look-up'!$H$4,$V2502-4,0))</f>
        <v/>
      </c>
      <c r="J2502" s="206" t="str">
        <f ca="1">IF(ISERROR($V2502),"",OFFSET('Smelter Look-up'!$I$4,$V2502-4,0))</f>
        <v/>
      </c>
      <c r="K2502" s="207"/>
      <c r="L2502" s="207"/>
      <c r="M2502" s="207"/>
      <c r="N2502" s="207"/>
      <c r="O2502" s="207"/>
      <c r="P2502" s="370"/>
      <c r="Q2502" s="209"/>
      <c r="R2502" s="234" t="str">
        <f ca="1">IF(ISERROR($V2502),"",OFFSET('Smelter Look-up'!$C$4,$V2502-4,0)&amp;"")</f>
        <v/>
      </c>
      <c r="S2502" s="155" t="str">
        <f t="shared" ca="1" si="199"/>
        <v/>
      </c>
      <c r="T2502" s="155" t="str">
        <f ca="1">IF(B2502="","",IF(ISERROR(MATCH($J2502,SorP!$B$1:$B$6226,0)),"",INDIRECT("'SorP'!$A$"&amp;MATCH($S2502&amp;$J2502,SorP!C:C,0))))</f>
        <v/>
      </c>
      <c r="U2502" s="168"/>
      <c r="V2502" s="169" t="e">
        <f>IF(C2502="",NA(),MATCH($B2502&amp;$C2502,'Smelter Look-up'!$J:$J,0))</f>
        <v>#N/A</v>
      </c>
      <c r="W2502" s="170"/>
      <c r="X2502" s="170">
        <f t="shared" ca="1" si="198"/>
        <v>0</v>
      </c>
      <c r="Y2502" s="170"/>
      <c r="Z2502" s="170"/>
      <c r="AA2502" s="170"/>
      <c r="AB2502" s="313" t="str">
        <f t="shared" si="195"/>
        <v/>
      </c>
      <c r="AC2502" s="170" t="str">
        <f t="shared" ref="AC2502:AC2504" si="200">B2502</f>
        <v/>
      </c>
      <c r="AD2502" s="170" t="str">
        <f t="shared" ref="AD2502:AD2504" si="201">IF(C2502="Smelter not listed",D2502,C2502)</f>
        <v/>
      </c>
      <c r="AE2502" s="170"/>
      <c r="AF2502" s="170"/>
      <c r="AG2502" s="170"/>
      <c r="AH2502" s="170"/>
      <c r="AI2502" s="170"/>
    </row>
    <row r="2503" spans="1:35" ht="20.399999999999999">
      <c r="A2503" s="204"/>
      <c r="B2503" s="304" t="str">
        <f>IF(LEN(A2503)=0,"",INDEX('Smelter Look-up'!$A:$A,MATCH($A2503,'Smelter Look-up'!$E:$E,0)))</f>
        <v/>
      </c>
      <c r="C2503" s="152" t="str">
        <f>IF(LEN(A2503)=0,"",INDEX('Smelter Look-up'!$C:$C,MATCH($A2503,'Smelter Look-up'!$E:$E,0)))</f>
        <v/>
      </c>
      <c r="D2503" s="149"/>
      <c r="E2503" s="235" t="str">
        <f ca="1">IF(ISERROR($V2503),"",OFFSET('Smelter Look-up'!$D$4,$V2503-4,0)&amp;"")</f>
        <v/>
      </c>
      <c r="F2503" s="235" t="str">
        <f ca="1">IF(ISERROR($V2503),"",OFFSET('Smelter Look-up'!$E$4,$V2503-4,0))</f>
        <v/>
      </c>
      <c r="G2503" s="235" t="str">
        <f ca="1">IF(C2503=$X$4,"Enter smelter details",IF(ISERROR($V2503),"",OFFSET('Smelter Look-up'!$F$4,$V2503-4,0)))</f>
        <v/>
      </c>
      <c r="H2503" s="205" t="str">
        <f ca="1">IF(ISERROR($V2503),"",OFFSET('Smelter Look-up'!$G$4,$V2503-4,0))</f>
        <v/>
      </c>
      <c r="I2503" s="206" t="str">
        <f ca="1">IF(ISERROR($V2503),"",OFFSET('Smelter Look-up'!$H$4,$V2503-4,0))</f>
        <v/>
      </c>
      <c r="J2503" s="206" t="str">
        <f ca="1">IF(ISERROR($V2503),"",OFFSET('Smelter Look-up'!$I$4,$V2503-4,0))</f>
        <v/>
      </c>
      <c r="K2503" s="207"/>
      <c r="L2503" s="207"/>
      <c r="M2503" s="207"/>
      <c r="N2503" s="207"/>
      <c r="O2503" s="207"/>
      <c r="P2503" s="370"/>
      <c r="Q2503" s="209"/>
      <c r="R2503" s="234" t="str">
        <f ca="1">IF(ISERROR($V2503),"",OFFSET('Smelter Look-up'!$C$4,$V2503-4,0)&amp;"")</f>
        <v/>
      </c>
      <c r="S2503" s="155" t="str">
        <f t="shared" ca="1" si="199"/>
        <v/>
      </c>
      <c r="T2503" s="155" t="str">
        <f ca="1">IF(B2503="","",IF(ISERROR(MATCH($J2503,SorP!$B$1:$B$6226,0)),"",INDIRECT("'SorP'!$A$"&amp;MATCH($S2503&amp;$J2503,SorP!C:C,0))))</f>
        <v/>
      </c>
      <c r="U2503" s="168"/>
      <c r="V2503" s="169" t="e">
        <f>IF(C2503="",NA(),MATCH($B2503&amp;$C2503,'Smelter Look-up'!$J:$J,0))</f>
        <v>#N/A</v>
      </c>
      <c r="W2503" s="170"/>
      <c r="X2503" s="170">
        <f t="shared" ca="1" si="198"/>
        <v>0</v>
      </c>
      <c r="Y2503" s="170"/>
      <c r="Z2503" s="170"/>
      <c r="AA2503" s="170"/>
      <c r="AB2503" s="313" t="str">
        <f t="shared" si="195"/>
        <v/>
      </c>
      <c r="AC2503" s="170" t="str">
        <f t="shared" si="200"/>
        <v/>
      </c>
      <c r="AD2503" s="170" t="str">
        <f t="shared" si="201"/>
        <v/>
      </c>
      <c r="AE2503" s="170"/>
      <c r="AF2503" s="170"/>
      <c r="AG2503" s="170"/>
      <c r="AH2503" s="170"/>
      <c r="AI2503" s="170"/>
    </row>
    <row r="2504" spans="1:35" ht="21" thickBot="1">
      <c r="A2504" s="210"/>
      <c r="B2504" s="305" t="str">
        <f>IF(LEN(A2504)=0,"",INDEX('Smelter Look-up'!$A:$A,MATCH($A2504,'Smelter Look-up'!$E:$E,0)))</f>
        <v/>
      </c>
      <c r="C2504" s="237" t="str">
        <f>IF(LEN(A2504)=0,"",INDEX('Smelter Look-up'!$C:$C,MATCH($A2504,'Smelter Look-up'!$E:$E,0)))</f>
        <v/>
      </c>
      <c r="D2504" s="211"/>
      <c r="E2504" s="211" t="str">
        <f ca="1">IF(ISERROR($V2504),"",OFFSET('Smelter Look-up'!$D$4,$V2504-4,0)&amp;"")</f>
        <v/>
      </c>
      <c r="F2504" s="211" t="str">
        <f ca="1">IF(ISERROR($V2504),"",OFFSET('Smelter Look-up'!$E$4,$V2504-4,0))</f>
        <v/>
      </c>
      <c r="G2504" s="211" t="str">
        <f ca="1">IF(C2504=$X$4,"Enter smelter details",IF(ISERROR($V2504),"",OFFSET('Smelter Look-up'!$F$4,$V2504-4,0)))</f>
        <v/>
      </c>
      <c r="H2504" s="212" t="str">
        <f ca="1">IF(ISERROR($V2504),"",OFFSET('Smelter Look-up'!$G$4,$V2504-4,0))</f>
        <v/>
      </c>
      <c r="I2504" s="213" t="str">
        <f ca="1">IF(ISERROR($V2504),"",OFFSET('Smelter Look-up'!$H$4,$V2504-4,0))</f>
        <v/>
      </c>
      <c r="J2504" s="213" t="str">
        <f ca="1">IF(ISERROR($V2504),"",OFFSET('Smelter Look-up'!$I$4,$V2504-4,0))</f>
        <v/>
      </c>
      <c r="K2504" s="214"/>
      <c r="L2504" s="214"/>
      <c r="M2504" s="214"/>
      <c r="N2504" s="214"/>
      <c r="O2504" s="214"/>
      <c r="P2504" s="215"/>
      <c r="Q2504" s="238"/>
      <c r="R2504" s="216" t="str">
        <f ca="1">IF(ISERROR($V2504),"",OFFSET('Smelter Look-up'!$C$4,$V2504-4,0)&amp;"")</f>
        <v/>
      </c>
      <c r="S2504" s="155" t="str">
        <f t="shared" ref="S2504" ca="1" si="20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98"/>
        <v>0</v>
      </c>
      <c r="Y2504" s="170"/>
      <c r="Z2504" s="170"/>
      <c r="AA2504" s="170"/>
      <c r="AB2504" s="313" t="str">
        <f t="shared" si="195"/>
        <v/>
      </c>
      <c r="AC2504" s="170" t="str">
        <f t="shared" si="200"/>
        <v/>
      </c>
      <c r="AD2504" s="170" t="str">
        <f t="shared" si="201"/>
        <v/>
      </c>
      <c r="AE2504" s="170"/>
      <c r="AF2504" s="170"/>
      <c r="AG2504" s="170"/>
      <c r="AH2504" s="170"/>
      <c r="AI2504" s="170"/>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6" customWidth="1"/>
    <col min="2" max="2" width="43" style="17" customWidth="1"/>
    <col min="3" max="3" width="51.453125" style="16" customWidth="1"/>
    <col min="4" max="4" width="29" style="17" customWidth="1"/>
    <col min="5" max="9" width="10" style="16" hidden="1" customWidth="1"/>
    <col min="10" max="10" width="20.08984375" style="16" hidden="1" customWidth="1"/>
    <col min="11" max="12" width="10" style="16" hidden="1" customWidth="1"/>
    <col min="13" max="16" width="10" style="16" customWidth="1"/>
    <col min="17" max="26" width="9" style="16" customWidth="1"/>
    <col min="27" max="16384" width="9" style="16"/>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7" t="s">
        <v>18</v>
      </c>
    </row>
    <row r="2" spans="1:10" ht="16.2">
      <c r="A2" s="58" t="s">
        <v>47</v>
      </c>
      <c r="B2" s="59" t="str">
        <f>IF(F114=1,"Click here to return to Smelter List","")</f>
        <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6" t="s">
        <v>49</v>
      </c>
      <c r="H3" s="16" t="s">
        <v>50</v>
      </c>
      <c r="I3" s="16" t="s">
        <v>51</v>
      </c>
      <c r="J3" s="16" t="s">
        <v>52</v>
      </c>
    </row>
    <row r="4" spans="1:10" ht="39">
      <c r="A4" s="135" t="str">
        <f ca="1">Declaration!B8</f>
        <v>Company Name (*):</v>
      </c>
      <c r="B4" s="355" t="str">
        <f>Declaration!D8</f>
        <v>HARTING Stiftung &amp; Co. KG</v>
      </c>
      <c r="C4" s="136" t="str">
        <f t="shared" ref="C4:C11" ca="1" si="0">IF(H4=1,J4,I4)</f>
        <v>Complete</v>
      </c>
      <c r="D4" s="203" t="str">
        <f>IF(H4=1,"Click here to enter Company Name","")</f>
        <v/>
      </c>
      <c r="E4" s="17"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A. Company</v>
      </c>
      <c r="C5" s="136" t="str">
        <f t="shared" ca="1" si="0"/>
        <v>Complete</v>
      </c>
      <c r="D5" s="85" t="str">
        <f>IF(H5=1,"Click here to enter Declaration Scope","")</f>
        <v/>
      </c>
      <c r="E5" s="17"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 customHeight="1">
      <c r="A6" s="80" t="str">
        <f ca="1">Declaration!B10</f>
        <v>Description of Scope:</v>
      </c>
      <c r="B6" s="79" t="str">
        <f>Declaration!D10</f>
        <v>All products sites of HARTING Technology group</v>
      </c>
      <c r="C6" s="79" t="str">
        <f t="shared" ca="1" si="0"/>
        <v>Complete</v>
      </c>
      <c r="D6" s="85" t="str">
        <f>IF(H6=1,"Click here to provide a Description of Scope","")</f>
        <v/>
      </c>
      <c r="E6" s="17" t="s">
        <v>15</v>
      </c>
      <c r="F6" s="84">
        <f>IF(OR(B5=Declaration!P9,B5=Declaration!Q9,B5=0),0,1)</f>
        <v>0</v>
      </c>
      <c r="G6" s="62">
        <f t="shared" si="1"/>
        <v>0</v>
      </c>
      <c r="H6" s="63">
        <f t="shared" si="2"/>
        <v>0</v>
      </c>
      <c r="I6" s="131" t="str">
        <f ca="1">OFFSET(L!$C$1,MATCH("Checker"&amp;"Comp",L!$A:$A,0)-1,SL,,)</f>
        <v>Complete</v>
      </c>
      <c r="J6" s="16" t="str">
        <f ca="1">OFFSET(L!$C$1,MATCH("Checker"&amp;ADDRESS(ROW(),COLUMN(),4),L!$A:$A,0)-1,SL,,)</f>
        <v>Provide description of scope on Declaration tab cell D10</v>
      </c>
    </row>
    <row r="7" spans="1:10" ht="21.9" customHeight="1">
      <c r="A7" s="80" t="str">
        <f ca="1">Declaration!B12</f>
        <v>Select Minerals/Metals in Scope (*):</v>
      </c>
      <c r="B7" s="82"/>
      <c r="C7" s="79" t="str">
        <f t="shared" ca="1" si="0"/>
        <v>Complete</v>
      </c>
      <c r="D7" s="316" t="str">
        <f>IF(H7=1,"Click here to enter Minerals/Metals in Scope","")</f>
        <v/>
      </c>
      <c r="E7" s="17"/>
      <c r="F7" s="83">
        <v>1</v>
      </c>
      <c r="G7" s="307">
        <f>IF(Declaration!B30&lt;&gt;"",0,1)</f>
        <v>0</v>
      </c>
      <c r="H7" s="63">
        <f t="shared" si="2"/>
        <v>0</v>
      </c>
      <c r="I7" s="131" t="str">
        <f ca="1">OFFSET(L!$C$1,MATCH("Checker"&amp;"Comp",L!$A:$A,0)-1,SL,,)</f>
        <v>Complete</v>
      </c>
      <c r="J7" s="16" t="str">
        <f ca="1">OFFSET(L!$C$1,MATCH("Checker"&amp;ADDRESS(ROW(),COLUMN(),4),L!$A:$A,0)-1,SL,,)</f>
        <v>Provide at least 1 mineral/metal in Declaration tab cells D12 - G13</v>
      </c>
    </row>
    <row r="8" spans="1:10" ht="21.9" customHeight="1">
      <c r="A8" s="80">
        <f>Declaration!B14</f>
        <v>0</v>
      </c>
      <c r="B8" s="79"/>
      <c r="C8" s="79"/>
      <c r="D8" s="85"/>
      <c r="E8" s="17"/>
      <c r="F8" s="83"/>
      <c r="G8" s="62"/>
      <c r="H8" s="63"/>
      <c r="I8" s="131"/>
    </row>
    <row r="9" spans="1:10" ht="39">
      <c r="A9" s="135" t="str">
        <f ca="1">Declaration!B19</f>
        <v>Contact Name (*):</v>
      </c>
      <c r="B9" s="355" t="str">
        <f>Declaration!D19</f>
        <v>Achim Schier</v>
      </c>
      <c r="C9" s="136" t="str">
        <f t="shared" ca="1" si="0"/>
        <v>Complete</v>
      </c>
      <c r="D9" s="316" t="str">
        <f>IF(H9=1,"Click here to enter Contact Name","")</f>
        <v/>
      </c>
      <c r="E9" s="17" t="s">
        <v>15</v>
      </c>
      <c r="F9" s="83">
        <v>1</v>
      </c>
      <c r="G9" s="62">
        <f t="shared" si="1"/>
        <v>0</v>
      </c>
      <c r="H9" s="63">
        <f t="shared" si="2"/>
        <v>0</v>
      </c>
      <c r="I9" s="131" t="str">
        <f ca="1">OFFSET(L!$C$1,MATCH("Checker"&amp;"Comp",L!$A:$A,0)-1,SL,,)</f>
        <v>Complete</v>
      </c>
      <c r="J9" s="16" t="str">
        <f ca="1">OFFSET(L!$C$1,MATCH("Checker"&amp;ADDRESS(ROW(),COLUMN(),4),L!$A:$A,0)-1,SL,,)</f>
        <v xml:space="preserve">Provide contact name in Declaration tab cell D19 </v>
      </c>
    </row>
    <row r="10" spans="1:10" ht="39">
      <c r="A10" s="135" t="str">
        <f ca="1">Declaration!B20</f>
        <v>Email – Contact (*):</v>
      </c>
      <c r="B10" s="356" t="str">
        <f>Declaration!D20</f>
        <v>declarations@HARTING.com</v>
      </c>
      <c r="C10" s="136" t="str">
        <f t="shared" ca="1" si="0"/>
        <v>Complete</v>
      </c>
      <c r="D10" s="315" t="str">
        <f>IF(H10=1,"Click here to enter Email-Contact","")</f>
        <v/>
      </c>
      <c r="E10" s="17" t="s">
        <v>15</v>
      </c>
      <c r="F10" s="83">
        <v>1</v>
      </c>
      <c r="G10" s="62">
        <f>IF(ISNUMBER(SEARCH("@",B10)),0,1)</f>
        <v>0</v>
      </c>
      <c r="H10" s="63">
        <f t="shared" si="2"/>
        <v>0</v>
      </c>
      <c r="I10" s="131" t="str">
        <f ca="1">OFFSET(L!$C$1,MATCH("Checker"&amp;"Comp",L!$A:$A,0)-1,SL,,)</f>
        <v>Complete</v>
      </c>
      <c r="J10" s="16" t="str">
        <f ca="1">OFFSET(L!$C$1,MATCH("Checker"&amp;ADDRESS(ROW(),COLUMN(),4),L!$A:$A,0)-1,SL,,)</f>
        <v>Provide a valid email for contact in Declaration tab cell D20</v>
      </c>
    </row>
    <row r="11" spans="1:10" ht="39">
      <c r="A11" s="135" t="str">
        <f ca="1">Declaration!B21</f>
        <v>Phone – Contact (*):</v>
      </c>
      <c r="B11" s="355" t="str">
        <f>Declaration!D21</f>
        <v>+495772470</v>
      </c>
      <c r="C11" s="136" t="str">
        <f t="shared" ca="1" si="0"/>
        <v>Complete</v>
      </c>
      <c r="D11" s="315" t="str">
        <f>IF(H11=1,"Click here to enter Phone-Contact","")</f>
        <v/>
      </c>
      <c r="E11" s="17" t="s">
        <v>15</v>
      </c>
      <c r="F11" s="83">
        <v>1</v>
      </c>
      <c r="G11" s="62">
        <f t="shared" si="1"/>
        <v>0</v>
      </c>
      <c r="H11" s="63">
        <f t="shared" si="2"/>
        <v>0</v>
      </c>
      <c r="I11" s="131" t="str">
        <f ca="1">OFFSET(L!$C$1,MATCH("Checker"&amp;"Comp",L!$A:$A,0)-1,SL,,)</f>
        <v>Complete</v>
      </c>
      <c r="J11" s="16" t="str">
        <f ca="1">OFFSET(L!$C$1,MATCH("Checker"&amp;ADDRESS(ROW(),COLUMN(),4),L!$A:$A,0)-1,SL,,)</f>
        <v>Provide a phone number for contact in Declaration tab cell D21</v>
      </c>
    </row>
    <row r="12" spans="1:10" ht="39">
      <c r="A12" s="135" t="str">
        <f ca="1">Declaration!B22</f>
        <v>Authorizer (*):</v>
      </c>
      <c r="B12" s="355" t="str">
        <f>Declaration!D22</f>
        <v>Achim schier</v>
      </c>
      <c r="C12" s="136" t="str">
        <f t="shared" ref="C12:C72" ca="1" si="3">IF(H12=1,J12,I12)</f>
        <v>Complete</v>
      </c>
      <c r="D12" s="315" t="str">
        <f>IF(H12=1,"Click here to enter an Authorized Company Representative's name","")</f>
        <v/>
      </c>
      <c r="E12" s="17" t="s">
        <v>15</v>
      </c>
      <c r="F12" s="83">
        <v>1</v>
      </c>
      <c r="G12" s="62">
        <f t="shared" ref="G12:G17" si="4">IF(B12=0,1,0)</f>
        <v>0</v>
      </c>
      <c r="H12" s="63">
        <f t="shared" si="2"/>
        <v>0</v>
      </c>
      <c r="I12" s="131" t="str">
        <f ca="1">OFFSET(L!$C$1,MATCH("Checker"&amp;"Comp",L!$A:$A,0)-1,SL,,)</f>
        <v>Complete</v>
      </c>
      <c r="J12" s="16" t="str">
        <f ca="1">OFFSET(L!$C$1,MATCH("Checker"&amp;ADDRESS(ROW(),COLUMN(),4),L!$A:$A,0)-1,SL,,)</f>
        <v>Provide authorized company representative contact name in Declaration tab cell D22</v>
      </c>
    </row>
    <row r="13" spans="1:10" ht="26.4">
      <c r="A13" s="80" t="str">
        <f ca="1">Declaration!B24</f>
        <v>Email - Authorizer (*):</v>
      </c>
      <c r="B13" s="81" t="str">
        <f>Declaration!D24</f>
        <v>declarations@HARTING.com</v>
      </c>
      <c r="C13" s="79" t="str">
        <f t="shared" ca="1" si="3"/>
        <v>Complete</v>
      </c>
      <c r="D13" s="315" t="str">
        <f>IF(H13=1,"Click here to enter Representative's email","")</f>
        <v/>
      </c>
      <c r="E13" s="17" t="s">
        <v>18957</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1.9" customHeight="1">
      <c r="A14" s="80"/>
      <c r="B14" s="79"/>
      <c r="C14" s="79"/>
      <c r="D14" s="85"/>
      <c r="E14" s="17" t="s">
        <v>15</v>
      </c>
      <c r="F14" s="83"/>
      <c r="G14" s="62"/>
      <c r="H14" s="63">
        <f>F14*G14</f>
        <v>0</v>
      </c>
      <c r="I14" s="131"/>
    </row>
    <row r="15" spans="1:10" ht="39">
      <c r="A15" s="80" t="str">
        <f ca="1">Declaration!B26</f>
        <v>Effective Date (*):</v>
      </c>
      <c r="B15" s="81">
        <f>Declaration!D26</f>
        <v>46029</v>
      </c>
      <c r="C15" s="79" t="str">
        <f t="shared" ca="1" si="3"/>
        <v>Complete</v>
      </c>
      <c r="D15" s="315" t="str">
        <f>IF(H15=1,"Click here to enter Date of Completion","")</f>
        <v/>
      </c>
      <c r="E15" s="17" t="s">
        <v>15</v>
      </c>
      <c r="F15" s="83">
        <v>1</v>
      </c>
      <c r="G15" s="62">
        <f t="shared" si="4"/>
        <v>0</v>
      </c>
      <c r="H15" s="63">
        <f t="shared" si="2"/>
        <v>0</v>
      </c>
      <c r="I15" s="131" t="str">
        <f ca="1">OFFSET(L!$C$1,MATCH("Checker"&amp;"Comp",L!$A:$A,0)-1,SL,,)</f>
        <v>Complete</v>
      </c>
      <c r="J15" s="16" t="str">
        <f ca="1">OFFSET(L!$C$1,MATCH("Checker"&amp;ADDRESS(ROW(),COLUMN(),4),L!$A:$A,0)-1,SL,,)</f>
        <v>Provide date the form was completed on Declaration tab cell D26</v>
      </c>
    </row>
    <row r="16" spans="1:10" ht="24.9" customHeight="1">
      <c r="A16" s="79" t="str">
        <f ca="1">Declaration!B29</f>
        <v>1) Is any of the specified mineral/metal intentionally added or used in the product(s) or in the production process? (*)</v>
      </c>
      <c r="B16" s="82"/>
      <c r="C16" s="82"/>
      <c r="D16" s="86"/>
      <c r="E16" s="17" t="s">
        <v>16</v>
      </c>
      <c r="F16" s="83"/>
      <c r="H16" s="16">
        <f t="shared" si="2"/>
        <v>0</v>
      </c>
    </row>
    <row r="17" spans="1:10" ht="24.9" customHeight="1">
      <c r="A17" s="80" t="str">
        <f>Declaration!B30</f>
        <v>Cobalt(*)</v>
      </c>
      <c r="B17" s="79" t="str">
        <f>Declaration!D30</f>
        <v>No</v>
      </c>
      <c r="C17" s="79" t="str">
        <f t="shared" ca="1" si="3"/>
        <v>Complete</v>
      </c>
      <c r="D17" s="315" t="str">
        <f>IF(H17=1,"Click here to answer question 1 for specified mineral","")</f>
        <v/>
      </c>
      <c r="E17" s="17"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 customHeight="1">
      <c r="A18" s="80" t="str">
        <f>Declaration!B31</f>
        <v>Lithium(*)</v>
      </c>
      <c r="B18" s="79" t="str">
        <f>Declaration!D31</f>
        <v>No</v>
      </c>
      <c r="C18" s="79" t="str">
        <f t="shared" ca="1" si="3"/>
        <v>Complete</v>
      </c>
      <c r="D18" s="315" t="str">
        <f>IF(H18=1,"Click here to answer question 1 for specified mineral","")</f>
        <v/>
      </c>
      <c r="E18" s="17"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 customHeight="1">
      <c r="A19" s="80" t="str">
        <f>Declaration!B32</f>
        <v>Mica(*)</v>
      </c>
      <c r="B19" s="79" t="str">
        <f>Declaration!D32</f>
        <v>No</v>
      </c>
      <c r="C19" s="79" t="str">
        <f t="shared" ca="1" si="3"/>
        <v>Complete</v>
      </c>
      <c r="D19" s="315" t="str">
        <f t="shared" ref="D19:D22" si="8">IF(H19=1,"Click here to answer question 1 for specified mineral","")</f>
        <v/>
      </c>
      <c r="E19" s="17" t="s">
        <v>15</v>
      </c>
      <c r="F19" s="322">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 customHeight="1">
      <c r="A20" s="80" t="str">
        <f>Declaration!B33</f>
        <v/>
      </c>
      <c r="B20" s="79">
        <f>Declaration!D33</f>
        <v>0</v>
      </c>
      <c r="C20" s="79" t="str">
        <f t="shared" ca="1" si="3"/>
        <v>Complete</v>
      </c>
      <c r="D20" s="315" t="str">
        <f t="shared" si="8"/>
        <v/>
      </c>
      <c r="E20" s="17" t="s">
        <v>15</v>
      </c>
      <c r="F20" s="322">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 customHeight="1">
      <c r="A21" s="80" t="str">
        <f>Declaration!B34</f>
        <v/>
      </c>
      <c r="B21" s="79">
        <f>Declaration!D34</f>
        <v>0</v>
      </c>
      <c r="C21" s="79" t="str">
        <f t="shared" ca="1" si="3"/>
        <v>Complete</v>
      </c>
      <c r="D21" s="315" t="str">
        <f t="shared" si="8"/>
        <v/>
      </c>
      <c r="E21" s="17"/>
      <c r="F21" s="322">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 customHeight="1">
      <c r="A22" s="80" t="str">
        <f>Declaration!B35</f>
        <v/>
      </c>
      <c r="B22" s="79">
        <f>Declaration!D35</f>
        <v>0</v>
      </c>
      <c r="C22" s="79" t="str">
        <f t="shared" ca="1" si="3"/>
        <v>Complete</v>
      </c>
      <c r="D22" s="315" t="str">
        <f t="shared" si="8"/>
        <v/>
      </c>
      <c r="E22" s="17"/>
      <c r="F22" s="322">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 hidden="1" customHeight="1">
      <c r="A23" s="80" t="str">
        <f>Declaration!B36</f>
        <v/>
      </c>
      <c r="B23" s="79">
        <f>Declaration!D36</f>
        <v>0</v>
      </c>
      <c r="C23" s="79">
        <f t="shared" si="3"/>
        <v>0</v>
      </c>
      <c r="D23" s="85"/>
      <c r="E23" s="17"/>
      <c r="F23" s="322"/>
      <c r="G23" s="62"/>
      <c r="H23" s="63"/>
      <c r="I23" s="131"/>
      <c r="J23" s="132"/>
    </row>
    <row r="24" spans="1:10" ht="21.9" hidden="1" customHeight="1">
      <c r="A24" s="80" t="str">
        <f>Declaration!B37</f>
        <v/>
      </c>
      <c r="B24" s="79">
        <f>Declaration!D37</f>
        <v>0</v>
      </c>
      <c r="C24" s="79">
        <f t="shared" si="3"/>
        <v>0</v>
      </c>
      <c r="D24" s="85"/>
      <c r="E24" s="17"/>
      <c r="F24" s="322"/>
      <c r="G24" s="62"/>
      <c r="H24" s="63"/>
      <c r="I24" s="131"/>
      <c r="J24" s="132"/>
    </row>
    <row r="25" spans="1:10" ht="21.9" hidden="1" customHeight="1">
      <c r="A25" s="80" t="str">
        <f>Declaration!B38</f>
        <v/>
      </c>
      <c r="B25" s="79">
        <f>Declaration!D38</f>
        <v>0</v>
      </c>
      <c r="C25" s="79">
        <f t="shared" si="3"/>
        <v>0</v>
      </c>
      <c r="D25" s="85"/>
      <c r="E25" s="17"/>
      <c r="F25" s="322"/>
      <c r="G25" s="62"/>
      <c r="H25" s="63"/>
      <c r="I25" s="131"/>
      <c r="J25" s="132"/>
    </row>
    <row r="26" spans="1:10" ht="21.9" hidden="1" customHeight="1">
      <c r="A26" s="80" t="str">
        <f>Declaration!B39</f>
        <v/>
      </c>
      <c r="B26" s="79">
        <f>Declaration!D39</f>
        <v>0</v>
      </c>
      <c r="C26" s="79">
        <f t="shared" si="3"/>
        <v>0</v>
      </c>
      <c r="D26" s="85"/>
      <c r="E26" s="17"/>
      <c r="F26" s="322"/>
      <c r="G26" s="62"/>
      <c r="H26" s="63"/>
      <c r="I26" s="131"/>
      <c r="J26" s="132"/>
    </row>
    <row r="27" spans="1:10" ht="24.9" customHeight="1">
      <c r="A27" s="79" t="str">
        <f ca="1">Declaration!B41</f>
        <v xml:space="preserve">2) Does any of the specified mineral/metal remain in the product(s)? </v>
      </c>
      <c r="B27" s="82"/>
      <c r="C27" s="82"/>
      <c r="D27" s="86"/>
      <c r="E27" s="17" t="s">
        <v>15</v>
      </c>
      <c r="F27" s="83"/>
      <c r="J27" s="132"/>
    </row>
    <row r="28" spans="1:10" ht="39">
      <c r="A28" s="80" t="str">
        <f>Declaration!B42</f>
        <v>Cobalt</v>
      </c>
      <c r="B28" s="79">
        <f>Declaration!D42</f>
        <v>0</v>
      </c>
      <c r="C28" s="136" t="str">
        <f t="shared" ref="C28:C37" ca="1" si="9">IF(H28=1,J28,I28)</f>
        <v>Complete</v>
      </c>
      <c r="D28" s="315" t="str">
        <f>IF(H28=1,"Click here to answer question 2 for specified mineral","")</f>
        <v/>
      </c>
      <c r="E28" s="17" t="s">
        <v>15</v>
      </c>
      <c r="F28" s="84">
        <f>IF(OR(A17="",B17="No",B17="Unknown",B17="Not declaring"),0,1)</f>
        <v>0</v>
      </c>
      <c r="G28" s="62">
        <f>IF(B28=0,1,0)</f>
        <v>1</v>
      </c>
      <c r="H28" s="63">
        <f>F28*G28</f>
        <v>0</v>
      </c>
      <c r="I28" s="131"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Lithium</v>
      </c>
      <c r="B29" s="79">
        <f>Declaration!D43</f>
        <v>0</v>
      </c>
      <c r="C29" s="136" t="str">
        <f t="shared" ca="1" si="9"/>
        <v>Complete</v>
      </c>
      <c r="D29" s="315" t="str">
        <f t="shared" ref="D29:D33" si="10">IF(H29=1,"Click here to answer question 2 for specified mineral","")</f>
        <v/>
      </c>
      <c r="E29" s="17" t="s">
        <v>15</v>
      </c>
      <c r="F29" s="84">
        <f t="shared" ref="F29:F33" si="11">IF(OR(A18="",B18="No",B18="Unknown",B18="Not declaring"),0,1)</f>
        <v>0</v>
      </c>
      <c r="G29" s="62">
        <f t="shared" ref="G29:G33" si="12">IF(B29=0,1,0)</f>
        <v>1</v>
      </c>
      <c r="H29" s="63">
        <f t="shared" ref="H29:H33" si="13">F29*G29</f>
        <v>0</v>
      </c>
      <c r="I29" s="131"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Mica</v>
      </c>
      <c r="B30" s="79">
        <f>Declaration!D44</f>
        <v>0</v>
      </c>
      <c r="C30" s="136" t="str">
        <f t="shared" ca="1" si="9"/>
        <v>Complete</v>
      </c>
      <c r="D30" s="315" t="str">
        <f t="shared" si="10"/>
        <v/>
      </c>
      <c r="E30" s="17"/>
      <c r="F30" s="84">
        <f t="shared" si="11"/>
        <v>0</v>
      </c>
      <c r="G30" s="62">
        <f t="shared" si="12"/>
        <v>1</v>
      </c>
      <c r="H30" s="63">
        <f t="shared" si="13"/>
        <v>0</v>
      </c>
      <c r="I30" s="131"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5" t="str">
        <f t="shared" si="10"/>
        <v/>
      </c>
      <c r="E31" s="17"/>
      <c r="F31" s="84">
        <f t="shared" si="11"/>
        <v>0</v>
      </c>
      <c r="G31" s="62">
        <f t="shared" si="12"/>
        <v>1</v>
      </c>
      <c r="H31" s="63">
        <f t="shared" si="13"/>
        <v>0</v>
      </c>
      <c r="I31" s="131"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5" t="str">
        <f t="shared" si="10"/>
        <v/>
      </c>
      <c r="E32" s="17"/>
      <c r="F32" s="84">
        <f t="shared" si="11"/>
        <v>0</v>
      </c>
      <c r="G32" s="62">
        <f t="shared" si="12"/>
        <v>1</v>
      </c>
      <c r="H32" s="63">
        <f t="shared" si="13"/>
        <v>0</v>
      </c>
      <c r="I32" s="131"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5" t="str">
        <f t="shared" si="10"/>
        <v/>
      </c>
      <c r="E33" s="17"/>
      <c r="F33" s="84">
        <f t="shared" si="11"/>
        <v>0</v>
      </c>
      <c r="G33" s="62">
        <f t="shared" si="12"/>
        <v>1</v>
      </c>
      <c r="H33" s="63">
        <f t="shared" si="13"/>
        <v>0</v>
      </c>
      <c r="I33" s="131"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1.9" hidden="1" customHeight="1">
      <c r="A34" s="80" t="str">
        <f>Declaration!B48</f>
        <v/>
      </c>
      <c r="B34" s="79">
        <f>Declaration!D48</f>
        <v>0</v>
      </c>
      <c r="C34" s="136">
        <f t="shared" si="9"/>
        <v>0</v>
      </c>
      <c r="D34" s="228"/>
      <c r="E34" s="17"/>
      <c r="F34" s="84"/>
      <c r="G34" s="62"/>
      <c r="H34" s="63"/>
      <c r="I34" s="131"/>
    </row>
    <row r="35" spans="1:10" ht="21.9" hidden="1" customHeight="1">
      <c r="A35" s="80" t="str">
        <f>Declaration!B49</f>
        <v/>
      </c>
      <c r="B35" s="79">
        <f>Declaration!D49</f>
        <v>0</v>
      </c>
      <c r="C35" s="136">
        <f t="shared" si="9"/>
        <v>0</v>
      </c>
      <c r="D35" s="228"/>
      <c r="E35" s="17"/>
      <c r="F35" s="84"/>
      <c r="G35" s="62"/>
      <c r="H35" s="63"/>
      <c r="I35" s="131"/>
    </row>
    <row r="36" spans="1:10" ht="21.9" hidden="1" customHeight="1">
      <c r="A36" s="80" t="str">
        <f>Declaration!B50</f>
        <v/>
      </c>
      <c r="B36" s="79">
        <f>Declaration!D50</f>
        <v>0</v>
      </c>
      <c r="C36" s="136">
        <f t="shared" si="9"/>
        <v>0</v>
      </c>
      <c r="D36" s="228"/>
      <c r="E36" s="17"/>
      <c r="F36" s="84"/>
      <c r="G36" s="62"/>
      <c r="H36" s="63"/>
      <c r="I36" s="131"/>
    </row>
    <row r="37" spans="1:10" ht="21.9" hidden="1" customHeight="1">
      <c r="A37" s="80" t="str">
        <f>Declaration!B51</f>
        <v/>
      </c>
      <c r="B37" s="79">
        <f>Declaration!D51</f>
        <v>0</v>
      </c>
      <c r="C37" s="136">
        <f t="shared" si="9"/>
        <v>0</v>
      </c>
      <c r="D37" s="228"/>
      <c r="E37" s="17"/>
      <c r="F37" s="84"/>
      <c r="G37" s="62"/>
      <c r="H37" s="63"/>
      <c r="I37" s="131"/>
    </row>
    <row r="38" spans="1:10" ht="24.9"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7" t="s">
        <v>15</v>
      </c>
      <c r="F38" s="83"/>
      <c r="J38" s="132"/>
    </row>
    <row r="39" spans="1:10" ht="39">
      <c r="A39" s="80" t="str">
        <f>Declaration!B54</f>
        <v>Cobalt</v>
      </c>
      <c r="B39" s="79">
        <f>Declaration!D54</f>
        <v>0</v>
      </c>
      <c r="C39" s="136" t="str">
        <f t="shared" ca="1" si="3"/>
        <v>Complete</v>
      </c>
      <c r="D39" s="317" t="str">
        <f>IF(H39=1,"Click here to answer question 3 for Specified mineral","")</f>
        <v/>
      </c>
      <c r="E39" s="17" t="s">
        <v>15</v>
      </c>
      <c r="F39" s="84">
        <f>IF(OR(A17="",B17="No",B17="Unknown",B17="Not declaring",B28="No",B28="Unknown"),0,1)</f>
        <v>0</v>
      </c>
      <c r="G39" s="62">
        <f t="shared" ref="G39:G111" si="14">IF(B39=0,1,0)</f>
        <v>1</v>
      </c>
      <c r="H39" s="63">
        <f t="shared" ref="H39:H111" si="15">F39*G39</f>
        <v>0</v>
      </c>
      <c r="I39" s="131"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Lithium</v>
      </c>
      <c r="B40" s="79">
        <f>Declaration!D55</f>
        <v>0</v>
      </c>
      <c r="C40" s="136" t="str">
        <f t="shared" ca="1" si="3"/>
        <v>Complete</v>
      </c>
      <c r="D40" s="317" t="str">
        <f t="shared" ref="D40:D44" si="16">IF(H40=1,"Click here to answer question 3 for Specified mineral","")</f>
        <v/>
      </c>
      <c r="E40" s="17"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Mica</v>
      </c>
      <c r="B41" s="79">
        <f>Declaration!D56</f>
        <v>0</v>
      </c>
      <c r="C41" s="136" t="str">
        <f t="shared" ca="1" si="3"/>
        <v>Complete</v>
      </c>
      <c r="D41" s="317" t="str">
        <f t="shared" si="16"/>
        <v/>
      </c>
      <c r="E41" s="17"/>
      <c r="F41" s="84">
        <f t="shared" si="17"/>
        <v>0</v>
      </c>
      <c r="G41" s="62">
        <f t="shared" si="18"/>
        <v>1</v>
      </c>
      <c r="H41" s="63">
        <f t="shared" si="19"/>
        <v>0</v>
      </c>
      <c r="I41" s="131"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7" t="str">
        <f t="shared" si="16"/>
        <v/>
      </c>
      <c r="E42" s="17"/>
      <c r="F42" s="84">
        <f t="shared" si="17"/>
        <v>0</v>
      </c>
      <c r="G42" s="62">
        <f t="shared" si="18"/>
        <v>1</v>
      </c>
      <c r="H42" s="63">
        <f t="shared" si="19"/>
        <v>0</v>
      </c>
      <c r="I42" s="131"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7" t="str">
        <f t="shared" si="16"/>
        <v/>
      </c>
      <c r="E43" s="17"/>
      <c r="F43" s="84">
        <f t="shared" si="17"/>
        <v>0</v>
      </c>
      <c r="G43" s="62">
        <f t="shared" si="18"/>
        <v>1</v>
      </c>
      <c r="H43" s="63">
        <f t="shared" si="19"/>
        <v>0</v>
      </c>
      <c r="I43" s="131"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7" t="str">
        <f t="shared" si="16"/>
        <v/>
      </c>
      <c r="E44" s="17"/>
      <c r="F44" s="84">
        <f t="shared" si="17"/>
        <v>0</v>
      </c>
      <c r="G44" s="62">
        <f t="shared" si="18"/>
        <v>1</v>
      </c>
      <c r="H44" s="63">
        <f t="shared" si="19"/>
        <v>0</v>
      </c>
      <c r="I44" s="131"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80" t="str">
        <f>Declaration!B60</f>
        <v/>
      </c>
      <c r="B45" s="79">
        <f>Declaration!D60</f>
        <v>0</v>
      </c>
      <c r="C45" s="136">
        <f t="shared" si="3"/>
        <v>0</v>
      </c>
      <c r="D45" s="228"/>
      <c r="E45" s="17"/>
      <c r="F45" s="84"/>
      <c r="G45" s="62"/>
      <c r="H45" s="63"/>
      <c r="I45" s="131"/>
    </row>
    <row r="46" spans="1:10" ht="21.9" hidden="1" customHeight="1">
      <c r="A46" s="80" t="str">
        <f>Declaration!B61</f>
        <v/>
      </c>
      <c r="B46" s="79">
        <f>Declaration!D61</f>
        <v>0</v>
      </c>
      <c r="C46" s="136">
        <f t="shared" si="3"/>
        <v>0</v>
      </c>
      <c r="D46" s="228"/>
      <c r="E46" s="17"/>
      <c r="F46" s="84"/>
      <c r="G46" s="62"/>
      <c r="H46" s="63"/>
      <c r="I46" s="131"/>
    </row>
    <row r="47" spans="1:10" ht="21.9" hidden="1" customHeight="1">
      <c r="A47" s="80" t="str">
        <f>Declaration!B62</f>
        <v/>
      </c>
      <c r="B47" s="79">
        <f>Declaration!D62</f>
        <v>0</v>
      </c>
      <c r="C47" s="136">
        <f t="shared" si="3"/>
        <v>0</v>
      </c>
      <c r="D47" s="228"/>
      <c r="E47" s="17"/>
      <c r="F47" s="84"/>
      <c r="G47" s="62"/>
      <c r="H47" s="63"/>
      <c r="I47" s="131"/>
    </row>
    <row r="48" spans="1:10" ht="21.9" hidden="1" customHeight="1">
      <c r="A48" s="80" t="str">
        <f>Declaration!B63</f>
        <v/>
      </c>
      <c r="B48" s="79">
        <f>Declaration!D63</f>
        <v>0</v>
      </c>
      <c r="C48" s="136">
        <f t="shared" si="3"/>
        <v>0</v>
      </c>
      <c r="D48" s="87"/>
      <c r="E48" s="17" t="s">
        <v>15</v>
      </c>
      <c r="F48" s="84"/>
      <c r="G48" s="62"/>
      <c r="H48" s="63"/>
      <c r="I48" s="131"/>
    </row>
    <row r="49" spans="1:10" ht="24.9" customHeight="1">
      <c r="A49" s="79" t="str">
        <f ca="1">Declaration!B65</f>
        <v>4) Does 100 percent of the specified mineral/metal originate from recycled or scrap sources?</v>
      </c>
      <c r="B49" s="82"/>
      <c r="C49" s="82"/>
      <c r="D49" s="86"/>
      <c r="E49" s="17" t="s">
        <v>15</v>
      </c>
      <c r="F49" s="83"/>
      <c r="J49" s="132"/>
    </row>
    <row r="50" spans="1:10" ht="55.5" customHeight="1">
      <c r="A50" s="80" t="str">
        <f>Declaration!B66</f>
        <v>Cobalt</v>
      </c>
      <c r="B50" s="79">
        <f>Declaration!D66</f>
        <v>0</v>
      </c>
      <c r="C50" s="136" t="str">
        <f ca="1">IF(H50=1,J50,I50)</f>
        <v>Complete</v>
      </c>
      <c r="D50" s="317" t="str">
        <f>IF(H50=1,"Click here to answer question 4 for specified mineral","")</f>
        <v/>
      </c>
      <c r="E50" s="17"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Lithium</v>
      </c>
      <c r="B51" s="79">
        <f>Declaration!D67</f>
        <v>0</v>
      </c>
      <c r="C51" s="136" t="str">
        <f t="shared" ref="C51:C59" ca="1" si="20">IF(H51=1,J51,I51)</f>
        <v>Complete</v>
      </c>
      <c r="D51" s="317" t="str">
        <f t="shared" ref="D51:D55" si="21">IF(H51=1,"Click here to answer question 4 for specified mineral","")</f>
        <v/>
      </c>
      <c r="E51" s="17"/>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Mica</v>
      </c>
      <c r="B52" s="79">
        <f>Declaration!D68</f>
        <v>0</v>
      </c>
      <c r="C52" s="136" t="str">
        <f t="shared" ca="1" si="20"/>
        <v>Complete</v>
      </c>
      <c r="D52" s="317" t="str">
        <f t="shared" si="21"/>
        <v/>
      </c>
      <c r="E52" s="17"/>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7" t="str">
        <f t="shared" si="21"/>
        <v/>
      </c>
      <c r="E53" s="17"/>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7" t="str">
        <f t="shared" si="21"/>
        <v/>
      </c>
      <c r="E54" s="17"/>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7" t="str">
        <f t="shared" si="21"/>
        <v/>
      </c>
      <c r="E55" s="17"/>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80" t="str">
        <f>Declaration!B72</f>
        <v/>
      </c>
      <c r="B56" s="79">
        <f>Declaration!D72</f>
        <v>0</v>
      </c>
      <c r="C56" s="136">
        <f t="shared" si="20"/>
        <v>0</v>
      </c>
      <c r="D56" s="192"/>
      <c r="E56" s="17"/>
      <c r="F56" s="84"/>
      <c r="G56" s="62"/>
      <c r="H56" s="63"/>
      <c r="I56" s="131"/>
      <c r="J56" s="132"/>
    </row>
    <row r="57" spans="1:10" ht="21.9" hidden="1" customHeight="1">
      <c r="A57" s="80" t="str">
        <f>Declaration!B73</f>
        <v/>
      </c>
      <c r="B57" s="79">
        <f>Declaration!D73</f>
        <v>0</v>
      </c>
      <c r="C57" s="136">
        <f t="shared" si="20"/>
        <v>0</v>
      </c>
      <c r="D57" s="87"/>
      <c r="E57" s="17" t="s">
        <v>15</v>
      </c>
      <c r="F57" s="84"/>
      <c r="G57" s="62"/>
      <c r="H57" s="63"/>
      <c r="I57" s="131"/>
      <c r="J57" s="132"/>
    </row>
    <row r="58" spans="1:10" ht="21.9" hidden="1" customHeight="1">
      <c r="A58" s="80" t="str">
        <f>Declaration!B74</f>
        <v/>
      </c>
      <c r="B58" s="79">
        <f>Declaration!D74</f>
        <v>0</v>
      </c>
      <c r="C58" s="136">
        <f t="shared" si="20"/>
        <v>0</v>
      </c>
      <c r="D58" s="87"/>
      <c r="E58" s="17" t="s">
        <v>15</v>
      </c>
      <c r="F58" s="84"/>
      <c r="G58" s="62"/>
      <c r="H58" s="63"/>
      <c r="I58" s="131"/>
      <c r="J58" s="132"/>
    </row>
    <row r="59" spans="1:10" ht="21.9" hidden="1" customHeight="1">
      <c r="A59" s="80" t="str">
        <f>Declaration!B75</f>
        <v/>
      </c>
      <c r="B59" s="79">
        <f>Declaration!D75</f>
        <v>0</v>
      </c>
      <c r="C59" s="136">
        <f t="shared" si="20"/>
        <v>0</v>
      </c>
      <c r="D59" s="87"/>
      <c r="E59" s="17" t="s">
        <v>15</v>
      </c>
      <c r="F59" s="84"/>
      <c r="G59" s="62"/>
      <c r="H59" s="63"/>
      <c r="I59" s="131"/>
      <c r="J59" s="132"/>
    </row>
    <row r="60" spans="1:10" ht="24.9" customHeight="1">
      <c r="A60" s="79" t="str">
        <f ca="1">Declaration!B77</f>
        <v>5) What percentage of relevant suppliers have provided a response to your supply chain survey?</v>
      </c>
      <c r="B60" s="82"/>
      <c r="C60" s="82"/>
      <c r="D60" s="86"/>
      <c r="E60" s="17" t="s">
        <v>15</v>
      </c>
      <c r="F60" s="83"/>
    </row>
    <row r="61" spans="1:10" ht="26.4">
      <c r="A61" s="80" t="str">
        <f>Declaration!B78</f>
        <v>Cobalt</v>
      </c>
      <c r="B61" s="79">
        <f>Declaration!D78</f>
        <v>0</v>
      </c>
      <c r="C61" s="136" t="str">
        <f t="shared" ca="1" si="3"/>
        <v>Complete</v>
      </c>
      <c r="D61" s="318" t="str">
        <f>IF(H61=1,"Click here to answer question 5 for specified mineral","")</f>
        <v/>
      </c>
      <c r="E61" s="17" t="s">
        <v>18</v>
      </c>
      <c r="F61" s="84">
        <f>F50</f>
        <v>0</v>
      </c>
      <c r="G61" s="62">
        <f t="shared" si="14"/>
        <v>1</v>
      </c>
      <c r="H61" s="63">
        <f t="shared" si="15"/>
        <v>0</v>
      </c>
      <c r="I61" s="131" t="str">
        <f ca="1">OFFSET(L!$C$1,MATCH("Checker"&amp;"Comp",L!$A:$A,0)-1,SL,,)</f>
        <v>Complete</v>
      </c>
      <c r="J61" s="16" t="str">
        <f ca="1">OFFSET(L!$C$1,MATCH("Checker"&amp;ADDRESS(ROW(),COLUMN(),4),L!$A:$A,0)-1,SL,,)</f>
        <v>Provide % of completeness of supplier's smelter information on Declaration tab cell D78</v>
      </c>
    </row>
    <row r="62" spans="1:10" ht="26.4">
      <c r="A62" s="80" t="str">
        <f>Declaration!B79</f>
        <v>Lithium</v>
      </c>
      <c r="B62" s="79">
        <f>Declaration!D79</f>
        <v>0</v>
      </c>
      <c r="C62" s="136" t="str">
        <f t="shared" ca="1" si="3"/>
        <v>Complete</v>
      </c>
      <c r="D62" s="318" t="str">
        <f t="shared" ref="D62:D66" si="25">IF(H62=1,"Click here to answer question 5 for specified mineral","")</f>
        <v/>
      </c>
      <c r="E62" s="17" t="s">
        <v>18</v>
      </c>
      <c r="F62" s="84">
        <f t="shared" ref="F62:F66" si="26">F51</f>
        <v>0</v>
      </c>
      <c r="G62" s="62">
        <f t="shared" ref="G62:G66" si="27">IF(B62=0,1,0)</f>
        <v>1</v>
      </c>
      <c r="H62" s="63">
        <f t="shared" ref="H62:H66" si="28">F62*G62</f>
        <v>0</v>
      </c>
      <c r="I62" s="131" t="str">
        <f ca="1">OFFSET(L!$C$1,MATCH("Checker"&amp;"Comp",L!$A:$A,0)-1,SL,,)</f>
        <v>Complete</v>
      </c>
      <c r="J62" s="16" t="str">
        <f ca="1">OFFSET(L!$C$1,MATCH("Checker"&amp;ADDRESS(ROW(),COLUMN(),4),L!$A:$A,0)-1,SL,,)</f>
        <v>Provide % of completeness of supplier's smelter information on Declaration tab cell D79</v>
      </c>
    </row>
    <row r="63" spans="1:10" ht="14.4">
      <c r="A63" s="80" t="str">
        <f>Declaration!B80</f>
        <v>Mica</v>
      </c>
      <c r="B63" s="79">
        <f>Declaration!D80</f>
        <v>0</v>
      </c>
      <c r="C63" s="136" t="str">
        <f t="shared" ca="1" si="3"/>
        <v>Complete</v>
      </c>
      <c r="D63" s="318" t="str">
        <f t="shared" si="25"/>
        <v/>
      </c>
      <c r="E63" s="17"/>
      <c r="F63" s="84">
        <f t="shared" si="26"/>
        <v>0</v>
      </c>
      <c r="G63" s="62">
        <f t="shared" si="27"/>
        <v>1</v>
      </c>
      <c r="H63" s="63">
        <f t="shared" si="28"/>
        <v>0</v>
      </c>
      <c r="I63" s="131" t="str">
        <f ca="1">OFFSET(L!$C$1,MATCH("Checker"&amp;"Comp",L!$A:$A,0)-1,SL,,)</f>
        <v>Complete</v>
      </c>
      <c r="J63" s="16"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8" t="str">
        <f t="shared" si="25"/>
        <v/>
      </c>
      <c r="E64" s="17"/>
      <c r="F64" s="84">
        <f t="shared" si="26"/>
        <v>0</v>
      </c>
      <c r="G64" s="62">
        <f t="shared" si="27"/>
        <v>1</v>
      </c>
      <c r="H64" s="63">
        <f t="shared" si="28"/>
        <v>0</v>
      </c>
      <c r="I64" s="131" t="str">
        <f ca="1">OFFSET(L!$C$1,MATCH("Checker"&amp;"Comp",L!$A:$A,0)-1,SL,,)</f>
        <v>Complete</v>
      </c>
      <c r="J64" s="16"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8" t="str">
        <f t="shared" si="25"/>
        <v/>
      </c>
      <c r="E65" s="17"/>
      <c r="F65" s="84">
        <f t="shared" si="26"/>
        <v>0</v>
      </c>
      <c r="G65" s="62">
        <f t="shared" si="27"/>
        <v>1</v>
      </c>
      <c r="H65" s="63">
        <f t="shared" si="28"/>
        <v>0</v>
      </c>
      <c r="I65" s="131" t="str">
        <f ca="1">OFFSET(L!$C$1,MATCH("Checker"&amp;"Comp",L!$A:$A,0)-1,SL,,)</f>
        <v>Complete</v>
      </c>
      <c r="J65" s="16"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8" t="str">
        <f t="shared" si="25"/>
        <v/>
      </c>
      <c r="E66" s="17"/>
      <c r="F66" s="84">
        <f t="shared" si="26"/>
        <v>0</v>
      </c>
      <c r="G66" s="62">
        <f t="shared" si="27"/>
        <v>1</v>
      </c>
      <c r="H66" s="63">
        <f t="shared" si="28"/>
        <v>0</v>
      </c>
      <c r="I66" s="131" t="str">
        <f ca="1">OFFSET(L!$C$1,MATCH("Checker"&amp;"Comp",L!$A:$A,0)-1,SL,,)</f>
        <v>Complete</v>
      </c>
      <c r="J66" s="16" t="str">
        <f ca="1">OFFSET(L!$C$1,MATCH("Checker"&amp;ADDRESS(ROW(),COLUMN(),4),L!$A:$A,0)-1,SL,,)</f>
        <v>Provide % of completeness of supplier's smelter information on Declaration tab cell D83</v>
      </c>
    </row>
    <row r="67" spans="1:10" ht="21.9" hidden="1" customHeight="1">
      <c r="A67" s="80" t="str">
        <f>Declaration!B84</f>
        <v/>
      </c>
      <c r="B67" s="79">
        <f>Declaration!D84</f>
        <v>0</v>
      </c>
      <c r="C67" s="136">
        <f t="shared" si="3"/>
        <v>0</v>
      </c>
      <c r="D67" s="85"/>
      <c r="E67" s="17"/>
      <c r="F67" s="84"/>
      <c r="G67" s="62"/>
      <c r="H67" s="63"/>
      <c r="I67" s="131"/>
    </row>
    <row r="68" spans="1:10" ht="21.9" hidden="1" customHeight="1">
      <c r="A68" s="80" t="str">
        <f>Declaration!B85</f>
        <v/>
      </c>
      <c r="B68" s="79">
        <f>Declaration!D85</f>
        <v>0</v>
      </c>
      <c r="C68" s="136">
        <f t="shared" si="3"/>
        <v>0</v>
      </c>
      <c r="D68" s="85"/>
      <c r="E68" s="17"/>
      <c r="F68" s="84"/>
      <c r="G68" s="62"/>
      <c r="H68" s="63"/>
      <c r="I68" s="131"/>
    </row>
    <row r="69" spans="1:10" ht="21.9" hidden="1" customHeight="1">
      <c r="A69" s="80" t="str">
        <f>Declaration!B86</f>
        <v/>
      </c>
      <c r="B69" s="79">
        <f>Declaration!D86</f>
        <v>0</v>
      </c>
      <c r="C69" s="136">
        <f t="shared" si="3"/>
        <v>0</v>
      </c>
      <c r="D69" s="85"/>
      <c r="E69" s="17" t="s">
        <v>18</v>
      </c>
      <c r="F69" s="84"/>
      <c r="G69" s="62"/>
      <c r="H69" s="63"/>
      <c r="I69" s="131"/>
    </row>
    <row r="70" spans="1:10" ht="21.9" hidden="1" customHeight="1">
      <c r="A70" s="80" t="str">
        <f>Declaration!B87</f>
        <v/>
      </c>
      <c r="B70" s="79">
        <f>Declaration!D87</f>
        <v>0</v>
      </c>
      <c r="C70" s="136">
        <f t="shared" si="3"/>
        <v>0</v>
      </c>
      <c r="D70" s="85"/>
      <c r="E70" s="17" t="s">
        <v>18</v>
      </c>
      <c r="F70" s="84"/>
      <c r="G70" s="62"/>
      <c r="H70" s="63"/>
      <c r="I70" s="131"/>
    </row>
    <row r="71" spans="1:10" ht="24.9" customHeight="1">
      <c r="A71" s="79" t="str">
        <f ca="1">Declaration!B89</f>
        <v>6) Have you identified all of the smelters or processors supplying the specified minerals/metal to your supply chain?</v>
      </c>
      <c r="B71" s="82"/>
      <c r="C71" s="82"/>
      <c r="D71" s="86"/>
      <c r="E71" s="17" t="s">
        <v>13</v>
      </c>
      <c r="F71" s="83"/>
    </row>
    <row r="72" spans="1:10" ht="51.6">
      <c r="A72" s="80" t="str">
        <f>Declaration!B90</f>
        <v>Cobalt</v>
      </c>
      <c r="B72" s="79">
        <f>Declaration!D90</f>
        <v>0</v>
      </c>
      <c r="C72" s="136" t="str">
        <f t="shared" ca="1" si="3"/>
        <v>Complete</v>
      </c>
      <c r="D72" s="318" t="str">
        <f>IF(H72=1,"Click here to answer question 6 for specified mineral","")</f>
        <v/>
      </c>
      <c r="E72" s="17" t="s">
        <v>13</v>
      </c>
      <c r="F72" s="84">
        <f>F61</f>
        <v>0</v>
      </c>
      <c r="G72" s="62">
        <f t="shared" ref="G72" si="29">IF(B72=0,1,0)</f>
        <v>1</v>
      </c>
      <c r="H72" s="63">
        <f t="shared" ref="H72" si="30">F72*G72</f>
        <v>0</v>
      </c>
      <c r="I72" s="131"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1.6">
      <c r="A73" s="80" t="str">
        <f>Declaration!B91</f>
        <v>Lithium</v>
      </c>
      <c r="B73" s="79">
        <f>Declaration!D91</f>
        <v>0</v>
      </c>
      <c r="C73" s="136" t="str">
        <f t="shared" ref="C73:C81" ca="1" si="31">IF(H73=1,J73,I73)</f>
        <v>Complete</v>
      </c>
      <c r="D73" s="318" t="str">
        <f t="shared" ref="D73:D77" si="32">IF(H73=1,"Click here to answer question 6 for specified mineral","")</f>
        <v/>
      </c>
      <c r="E73" s="17" t="s">
        <v>13</v>
      </c>
      <c r="F73" s="84">
        <f t="shared" ref="F73:F77" si="33">F62</f>
        <v>0</v>
      </c>
      <c r="G73" s="62">
        <f t="shared" ref="G73:G77" si="34">IF(B73=0,1,0)</f>
        <v>1</v>
      </c>
      <c r="H73" s="63">
        <f t="shared" ref="H73:H77" si="35">F73*G73</f>
        <v>0</v>
      </c>
      <c r="I73" s="131"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4.4">
      <c r="A74" s="80" t="str">
        <f>Declaration!B92</f>
        <v>Mica</v>
      </c>
      <c r="B74" s="79">
        <f>Declaration!D92</f>
        <v>0</v>
      </c>
      <c r="C74" s="136" t="str">
        <f t="shared" ca="1" si="31"/>
        <v>Complete</v>
      </c>
      <c r="D74" s="318" t="str">
        <f t="shared" si="32"/>
        <v/>
      </c>
      <c r="E74" s="17"/>
      <c r="F74" s="84">
        <f t="shared" si="33"/>
        <v>0</v>
      </c>
      <c r="G74" s="62">
        <f t="shared" si="34"/>
        <v>1</v>
      </c>
      <c r="H74" s="63">
        <f t="shared" si="35"/>
        <v>0</v>
      </c>
      <c r="I74" s="131"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8" t="str">
        <f t="shared" si="32"/>
        <v/>
      </c>
      <c r="E75" s="17"/>
      <c r="F75" s="84">
        <f t="shared" si="33"/>
        <v>0</v>
      </c>
      <c r="G75" s="62">
        <f t="shared" si="34"/>
        <v>1</v>
      </c>
      <c r="H75" s="63">
        <f t="shared" si="35"/>
        <v>0</v>
      </c>
      <c r="I75" s="131"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8" t="str">
        <f t="shared" si="32"/>
        <v/>
      </c>
      <c r="E76" s="17"/>
      <c r="F76" s="84">
        <f t="shared" si="33"/>
        <v>0</v>
      </c>
      <c r="G76" s="62">
        <f t="shared" si="34"/>
        <v>1</v>
      </c>
      <c r="H76" s="63">
        <f t="shared" si="35"/>
        <v>0</v>
      </c>
      <c r="I76" s="131"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8" t="str">
        <f t="shared" si="32"/>
        <v/>
      </c>
      <c r="E77" s="17"/>
      <c r="F77" s="84">
        <f t="shared" si="33"/>
        <v>0</v>
      </c>
      <c r="G77" s="62">
        <f t="shared" si="34"/>
        <v>1</v>
      </c>
      <c r="H77" s="63">
        <f t="shared" si="35"/>
        <v>0</v>
      </c>
      <c r="I77" s="131"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1.9" hidden="1" customHeight="1">
      <c r="A78" s="80" t="str">
        <f>Declaration!B96</f>
        <v/>
      </c>
      <c r="B78" s="79">
        <f>Declaration!D96</f>
        <v>0</v>
      </c>
      <c r="C78" s="136">
        <f t="shared" si="31"/>
        <v>0</v>
      </c>
      <c r="D78" s="87"/>
      <c r="E78" s="17"/>
      <c r="F78" s="84"/>
      <c r="G78" s="62"/>
      <c r="H78" s="63"/>
      <c r="I78" s="131"/>
    </row>
    <row r="79" spans="1:10" ht="21.9" hidden="1" customHeight="1">
      <c r="A79" s="80" t="str">
        <f>Declaration!B97</f>
        <v/>
      </c>
      <c r="B79" s="79">
        <f>Declaration!D97</f>
        <v>0</v>
      </c>
      <c r="C79" s="136">
        <f t="shared" si="31"/>
        <v>0</v>
      </c>
      <c r="D79" s="87"/>
      <c r="E79" s="17"/>
      <c r="F79" s="84"/>
      <c r="G79" s="62"/>
      <c r="H79" s="63"/>
      <c r="I79" s="131"/>
    </row>
    <row r="80" spans="1:10" ht="21.9" hidden="1" customHeight="1">
      <c r="A80" s="80" t="str">
        <f>Declaration!B98</f>
        <v/>
      </c>
      <c r="B80" s="79">
        <f>Declaration!D98</f>
        <v>0</v>
      </c>
      <c r="C80" s="136">
        <f t="shared" si="31"/>
        <v>0</v>
      </c>
      <c r="D80" s="87"/>
      <c r="E80" s="17" t="s">
        <v>13</v>
      </c>
      <c r="F80" s="84"/>
      <c r="G80" s="62"/>
      <c r="H80" s="63"/>
      <c r="I80" s="131"/>
    </row>
    <row r="81" spans="1:10" ht="21.9" hidden="1" customHeight="1">
      <c r="A81" s="80" t="str">
        <f>Declaration!B99</f>
        <v/>
      </c>
      <c r="B81" s="79">
        <f>Declaration!D99</f>
        <v>0</v>
      </c>
      <c r="C81" s="136">
        <f t="shared" si="31"/>
        <v>0</v>
      </c>
      <c r="D81" s="87"/>
      <c r="E81" s="17" t="s">
        <v>13</v>
      </c>
      <c r="F81" s="84"/>
      <c r="G81" s="62"/>
      <c r="H81" s="63"/>
      <c r="I81" s="131"/>
    </row>
    <row r="82" spans="1:10" ht="50.4" customHeight="1">
      <c r="A82" s="79" t="str">
        <f ca="1">Declaration!B101</f>
        <v>7) Has all applicable smelter or processor information received by your company been reported in this declaration?</v>
      </c>
      <c r="B82" s="82"/>
      <c r="C82" s="82"/>
      <c r="D82" s="86"/>
      <c r="E82" s="17" t="s">
        <v>16</v>
      </c>
      <c r="F82" s="83"/>
    </row>
    <row r="83" spans="1:10" ht="41.4" customHeight="1">
      <c r="A83" s="80" t="str">
        <f>Declaration!B102</f>
        <v>Cobalt</v>
      </c>
      <c r="B83" s="79">
        <f>Declaration!D102</f>
        <v>0</v>
      </c>
      <c r="C83" s="136" t="str">
        <f t="shared" ref="C83:C92" ca="1" si="36">IF(H83=1,J83,I83)</f>
        <v>Complete</v>
      </c>
      <c r="D83" s="318" t="str">
        <f>IF(H83=1,"Click here to answer question 7 for specified mineral","")</f>
        <v/>
      </c>
      <c r="E83" s="17" t="s">
        <v>15</v>
      </c>
      <c r="F83" s="84">
        <f>F72</f>
        <v>0</v>
      </c>
      <c r="G83" s="62">
        <f t="shared" ref="G83" si="37">IF(B83=0,1,0)</f>
        <v>1</v>
      </c>
      <c r="H83" s="63">
        <f t="shared" ref="H83" si="38">F83*G83</f>
        <v>0</v>
      </c>
      <c r="I83" s="131" t="str">
        <f ca="1">OFFSET(L!$C$1,MATCH("Checker"&amp;"Comp",L!$A:$A,0)-1,SL,,)</f>
        <v>Complete</v>
      </c>
      <c r="J83" s="16" t="str">
        <f ca="1">OFFSET(L!$C$1,MATCH("Checker"&amp;ADDRESS(ROW(),COLUMN(),4),L!$A:$A,0)-1,SL,,)</f>
        <v>Declare if all applicable specified mineral smelter information has been provided on Declaration tab cell D102</v>
      </c>
    </row>
    <row r="84" spans="1:10" ht="41.4" customHeight="1">
      <c r="A84" s="80" t="str">
        <f>Declaration!B103</f>
        <v>Lithium</v>
      </c>
      <c r="B84" s="79">
        <f>Declaration!D103</f>
        <v>0</v>
      </c>
      <c r="C84" s="136" t="str">
        <f t="shared" ca="1" si="36"/>
        <v>Complete</v>
      </c>
      <c r="D84" s="318" t="str">
        <f t="shared" ref="D84:D88" si="39">IF(H84=1,"Click here to answer question 7 for specified mineral","")</f>
        <v/>
      </c>
      <c r="E84" s="17" t="s">
        <v>15</v>
      </c>
      <c r="F84" s="84">
        <f t="shared" ref="F84:F88" si="40">F73</f>
        <v>0</v>
      </c>
      <c r="G84" s="62">
        <f t="shared" ref="G84:G88" si="41">IF(B84=0,1,0)</f>
        <v>1</v>
      </c>
      <c r="H84" s="63">
        <f t="shared" ref="H84:H88" si="42">F84*G84</f>
        <v>0</v>
      </c>
      <c r="I84" s="131" t="str">
        <f ca="1">OFFSET(L!$C$1,MATCH("Checker"&amp;"Comp",L!$A:$A,0)-1,SL,,)</f>
        <v>Complete</v>
      </c>
      <c r="J84" s="16" t="str">
        <f ca="1">OFFSET(L!$C$1,MATCH("Checker"&amp;ADDRESS(ROW(),COLUMN(),4),L!$A:$A,0)-1,SL,,)</f>
        <v>Declare if all applicable specified mineral smelter information has been provided on Declaration tab cell D103</v>
      </c>
    </row>
    <row r="85" spans="1:10" ht="41.4" customHeight="1">
      <c r="A85" s="80" t="str">
        <f>Declaration!B104</f>
        <v>Mica</v>
      </c>
      <c r="B85" s="79">
        <f>Declaration!D104</f>
        <v>0</v>
      </c>
      <c r="C85" s="136" t="str">
        <f t="shared" ca="1" si="36"/>
        <v>Complete</v>
      </c>
      <c r="D85" s="318" t="str">
        <f t="shared" si="39"/>
        <v/>
      </c>
      <c r="E85" s="17"/>
      <c r="F85" s="84">
        <f t="shared" si="40"/>
        <v>0</v>
      </c>
      <c r="G85" s="62">
        <f t="shared" si="41"/>
        <v>1</v>
      </c>
      <c r="H85" s="63">
        <f t="shared" si="42"/>
        <v>0</v>
      </c>
      <c r="I85" s="131" t="str">
        <f ca="1">OFFSET(L!$C$1,MATCH("Checker"&amp;"Comp",L!$A:$A,0)-1,SL,,)</f>
        <v>Complete</v>
      </c>
      <c r="J85" s="16" t="str">
        <f ca="1">OFFSET(L!$C$1,MATCH("Checker"&amp;ADDRESS(ROW(),COLUMN(),4),L!$A:$A,0)-1,SL,,)</f>
        <v>Declare if all applicable specified mineral smelter information has been provided on Declaration tab cell D104</v>
      </c>
    </row>
    <row r="86" spans="1:10" ht="41.4" customHeight="1">
      <c r="A86" s="80" t="str">
        <f>Declaration!B105</f>
        <v/>
      </c>
      <c r="B86" s="79">
        <f>Declaration!D105</f>
        <v>0</v>
      </c>
      <c r="C86" s="136" t="str">
        <f t="shared" ca="1" si="36"/>
        <v>Complete</v>
      </c>
      <c r="D86" s="318" t="str">
        <f t="shared" si="39"/>
        <v/>
      </c>
      <c r="E86" s="17"/>
      <c r="F86" s="84">
        <f t="shared" si="40"/>
        <v>0</v>
      </c>
      <c r="G86" s="62">
        <f t="shared" si="41"/>
        <v>1</v>
      </c>
      <c r="H86" s="63">
        <f t="shared" si="42"/>
        <v>0</v>
      </c>
      <c r="I86" s="131" t="str">
        <f ca="1">OFFSET(L!$C$1,MATCH("Checker"&amp;"Comp",L!$A:$A,0)-1,SL,,)</f>
        <v>Complete</v>
      </c>
      <c r="J86" s="16" t="str">
        <f ca="1">OFFSET(L!$C$1,MATCH("Checker"&amp;ADDRESS(ROW(),COLUMN(),4),L!$A:$A,0)-1,SL,,)</f>
        <v>Declare if all applicable specified mineral smelter information has been provided on Declaration tab cell D105</v>
      </c>
    </row>
    <row r="87" spans="1:10" ht="41.4" customHeight="1">
      <c r="A87" s="80" t="str">
        <f>Declaration!B106</f>
        <v/>
      </c>
      <c r="B87" s="79">
        <f>Declaration!D106</f>
        <v>0</v>
      </c>
      <c r="C87" s="136" t="str">
        <f t="shared" ca="1" si="36"/>
        <v>Complete</v>
      </c>
      <c r="D87" s="318" t="str">
        <f t="shared" si="39"/>
        <v/>
      </c>
      <c r="E87" s="17"/>
      <c r="F87" s="84">
        <f t="shared" si="40"/>
        <v>0</v>
      </c>
      <c r="G87" s="62">
        <f t="shared" si="41"/>
        <v>1</v>
      </c>
      <c r="H87" s="63">
        <f t="shared" si="42"/>
        <v>0</v>
      </c>
      <c r="I87" s="131" t="str">
        <f ca="1">OFFSET(L!$C$1,MATCH("Checker"&amp;"Comp",L!$A:$A,0)-1,SL,,)</f>
        <v>Complete</v>
      </c>
      <c r="J87" s="16" t="str">
        <f ca="1">OFFSET(L!$C$1,MATCH("Checker"&amp;ADDRESS(ROW(),COLUMN(),4),L!$A:$A,0)-1,SL,,)</f>
        <v>Declare if all applicable specified mineral smelter information has been provided on Declaration tab cell D106</v>
      </c>
    </row>
    <row r="88" spans="1:10" ht="41.4" customHeight="1">
      <c r="A88" s="80" t="str">
        <f>Declaration!B107</f>
        <v/>
      </c>
      <c r="B88" s="79">
        <f>Declaration!D107</f>
        <v>0</v>
      </c>
      <c r="C88" s="136" t="str">
        <f t="shared" ca="1" si="36"/>
        <v>Complete</v>
      </c>
      <c r="D88" s="318" t="str">
        <f t="shared" si="39"/>
        <v/>
      </c>
      <c r="E88" s="17"/>
      <c r="F88" s="84">
        <f t="shared" si="40"/>
        <v>0</v>
      </c>
      <c r="G88" s="62">
        <f t="shared" si="41"/>
        <v>1</v>
      </c>
      <c r="H88" s="63">
        <f t="shared" si="42"/>
        <v>0</v>
      </c>
      <c r="I88" s="131" t="str">
        <f ca="1">OFFSET(L!$C$1,MATCH("Checker"&amp;"Comp",L!$A:$A,0)-1,SL,,)</f>
        <v>Complete</v>
      </c>
      <c r="J88" s="16" t="str">
        <f ca="1">OFFSET(L!$C$1,MATCH("Checker"&amp;ADDRESS(ROW(),COLUMN(),4),L!$A:$A,0)-1,SL,,)</f>
        <v>Declare if all applicable specified mineral smelter information has been provided on Declaration tab cell D107</v>
      </c>
    </row>
    <row r="89" spans="1:10" ht="21.9" hidden="1" customHeight="1">
      <c r="A89" s="80" t="str">
        <f>Declaration!B108</f>
        <v/>
      </c>
      <c r="B89" s="79">
        <f>Declaration!D108</f>
        <v>0</v>
      </c>
      <c r="C89" s="136">
        <f t="shared" si="36"/>
        <v>0</v>
      </c>
      <c r="D89" s="88"/>
      <c r="E89" s="17"/>
      <c r="F89" s="84"/>
      <c r="G89" s="62"/>
      <c r="H89" s="63"/>
      <c r="I89" s="131"/>
    </row>
    <row r="90" spans="1:10" ht="21.9" hidden="1" customHeight="1">
      <c r="A90" s="80" t="str">
        <f>Declaration!B109</f>
        <v/>
      </c>
      <c r="B90" s="79">
        <f>Declaration!D109</f>
        <v>0</v>
      </c>
      <c r="C90" s="136">
        <f t="shared" si="36"/>
        <v>0</v>
      </c>
      <c r="D90" s="88"/>
      <c r="E90" s="17"/>
      <c r="F90" s="84"/>
      <c r="G90" s="62"/>
      <c r="H90" s="63"/>
      <c r="I90" s="131"/>
    </row>
    <row r="91" spans="1:10" ht="21.9" hidden="1" customHeight="1">
      <c r="A91" s="80" t="str">
        <f>Declaration!B110</f>
        <v/>
      </c>
      <c r="B91" s="79">
        <f>Declaration!D110</f>
        <v>0</v>
      </c>
      <c r="C91" s="136">
        <f t="shared" si="36"/>
        <v>0</v>
      </c>
      <c r="D91" s="88"/>
      <c r="E91" s="17" t="s">
        <v>15</v>
      </c>
      <c r="F91" s="84"/>
      <c r="G91" s="62"/>
      <c r="H91" s="63"/>
      <c r="I91" s="131"/>
    </row>
    <row r="92" spans="1:10" ht="21.9" hidden="1" customHeight="1">
      <c r="A92" s="80" t="str">
        <f>Declaration!B111</f>
        <v/>
      </c>
      <c r="B92" s="79">
        <f>Declaration!D111</f>
        <v>0</v>
      </c>
      <c r="C92" s="136">
        <f t="shared" si="36"/>
        <v>0</v>
      </c>
      <c r="D92" s="88"/>
      <c r="E92" s="17" t="s">
        <v>15</v>
      </c>
      <c r="F92" s="84"/>
      <c r="G92" s="62"/>
      <c r="H92" s="63"/>
      <c r="I92" s="131"/>
    </row>
    <row r="93" spans="1:10" ht="21.9" customHeight="1">
      <c r="A93" s="306" t="str">
        <f ca="1">Declaration!B114</f>
        <v>Question</v>
      </c>
      <c r="B93" s="82"/>
      <c r="C93" s="82"/>
      <c r="D93" s="86"/>
      <c r="E93" s="17" t="s">
        <v>18</v>
      </c>
      <c r="F93" s="83"/>
      <c r="G93" s="83"/>
      <c r="H93" s="83"/>
    </row>
    <row r="94" spans="1:10" ht="39">
      <c r="A94" s="79" t="str">
        <f ca="1">Declaration!B115</f>
        <v>A. Have you established a responsible minerals sourcing policy?</v>
      </c>
      <c r="B94" s="79" t="str">
        <f>Declaration!D115</f>
        <v>Yes</v>
      </c>
      <c r="C94" s="136" t="str">
        <f ca="1">IF(H94=1,J94,I94)</f>
        <v>Complete</v>
      </c>
      <c r="D94" s="319" t="str">
        <f>IF(H94=1,"Click here to answer question (A)","")</f>
        <v/>
      </c>
      <c r="E94" s="17" t="s">
        <v>15</v>
      </c>
      <c r="F94" s="84">
        <f>IF(SUM(F$39:F$48)=0,0,1)</f>
        <v>0</v>
      </c>
      <c r="G94" s="62">
        <f t="shared" si="14"/>
        <v>0</v>
      </c>
      <c r="H94" s="63">
        <f t="shared" si="15"/>
        <v>0</v>
      </c>
      <c r="I94" s="131" t="str">
        <f ca="1">OFFSET(L!$C$1,MATCH("Checker"&amp;"Comp",L!$A:$A,0)-1,SL,,)</f>
        <v>Complete</v>
      </c>
      <c r="J94" s="16" t="str">
        <f ca="1">OFFSET(L!$C$1,MATCH("Checker"&amp;ADDRESS(ROW(),COLUMN(),4),L!$A:$A,0)-1,SL,,)</f>
        <v>Answer if your company has a responsible minerals sourcing policy on the Declaration tab cell D115</v>
      </c>
    </row>
    <row r="95" spans="1:10" ht="39">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0" t="str">
        <f>IF(H95=1,"Click here to answer question (B)","")</f>
        <v/>
      </c>
      <c r="E95" s="17" t="s">
        <v>15</v>
      </c>
      <c r="F95" s="84">
        <f t="shared" ref="F95:F111" si="43">F$94</f>
        <v>0</v>
      </c>
      <c r="G95" s="62">
        <f t="shared" si="14"/>
        <v>0</v>
      </c>
      <c r="H95" s="63">
        <f t="shared" si="15"/>
        <v>0</v>
      </c>
      <c r="I95" s="131"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4.9" customHeight="1">
      <c r="A96" s="79" t="s">
        <v>53</v>
      </c>
      <c r="B96" s="79" t="str">
        <f>Declaration!G117</f>
        <v>code of conduct: https://www.harting.com/de-DE/download-documents#query=code%2520of%2520conduct</v>
      </c>
      <c r="C96" s="79" t="str">
        <f ca="1">IF(H96=1,J96,I96)</f>
        <v>Complete</v>
      </c>
      <c r="D96" s="321" t="str">
        <f>IF(H96=1,"Click here to answer question (C)","")</f>
        <v/>
      </c>
      <c r="E96" s="17" t="s">
        <v>15</v>
      </c>
      <c r="F96" s="84">
        <f>IF(AND(F95=1,B95="Yes"),1,0)</f>
        <v>0</v>
      </c>
      <c r="G96" s="62">
        <f>IF(LEN(B96)&gt;1,0,1)</f>
        <v>0</v>
      </c>
      <c r="H96" s="63">
        <f>F96*G96</f>
        <v>0</v>
      </c>
      <c r="I96" s="131" t="str">
        <f ca="1">OFFSET(L!$C$1,MATCH("Checker"&amp;"Comp",L!$A:$A,0)-1,SL,,)</f>
        <v>Complete</v>
      </c>
      <c r="J96" s="16" t="str">
        <f ca="1">OFFSET(L!$C$1,MATCH("Checker"&amp;ADDRESS(ROW(),COLUMN(),4),L!$A:$A,0)-1,SL,,)</f>
        <v>如果您对问题 B 回答“是”，则在“申报”工作表的 G117 单元格中输入 URL。URL 的格式应为 "www.companyname.com"</v>
      </c>
    </row>
    <row r="97" spans="1:10" ht="50.4">
      <c r="A97" s="79" t="str">
        <f ca="1">Declaration!B119</f>
        <v>C. Do you require your direct suppliers to source the specified minerals/metals from smelters whose due diligence practices have been validated by an independent third-party audit program?</v>
      </c>
      <c r="B97" s="82"/>
      <c r="C97" s="82"/>
      <c r="D97" s="86"/>
      <c r="E97" s="17" t="s">
        <v>15</v>
      </c>
      <c r="F97" s="84"/>
      <c r="G97" s="62"/>
      <c r="H97" s="63"/>
      <c r="I97" s="131"/>
    </row>
    <row r="98" spans="1:10" ht="81" customHeight="1">
      <c r="A98" s="79" t="str">
        <f>Declaration!B120</f>
        <v>Cobalt</v>
      </c>
      <c r="B98" s="79" t="str">
        <f>Declaration!D120</f>
        <v>No</v>
      </c>
      <c r="C98" s="136" t="str">
        <f t="shared" ref="C98:C112" ca="1" si="44">IF(H98=1,J98,I98)</f>
        <v>Complete</v>
      </c>
      <c r="D98" s="320" t="str">
        <f>IF(H98=1,"Click here to answer question (C)","")</f>
        <v/>
      </c>
      <c r="E98" s="17"/>
      <c r="F98" s="84">
        <f>F39</f>
        <v>0</v>
      </c>
      <c r="G98" s="62">
        <f t="shared" si="14"/>
        <v>0</v>
      </c>
      <c r="H98" s="63">
        <f t="shared" si="15"/>
        <v>0</v>
      </c>
      <c r="I98" s="131"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Lithium</v>
      </c>
      <c r="B99" s="79" t="str">
        <f>Declaration!D121</f>
        <v>No</v>
      </c>
      <c r="C99" s="136" t="str">
        <f t="shared" ca="1" si="44"/>
        <v>Complete</v>
      </c>
      <c r="D99" s="320" t="str">
        <f>IF(H99=1,"Click here to answer question (C)","")</f>
        <v/>
      </c>
      <c r="E99" s="17"/>
      <c r="F99" s="84">
        <f t="shared" ref="F99:F103" si="45">F40</f>
        <v>0</v>
      </c>
      <c r="G99" s="62">
        <f t="shared" si="14"/>
        <v>0</v>
      </c>
      <c r="H99" s="63">
        <f t="shared" si="15"/>
        <v>0</v>
      </c>
      <c r="I99" s="131"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Mica</v>
      </c>
      <c r="B100" s="79" t="str">
        <f>Declaration!D122</f>
        <v>No</v>
      </c>
      <c r="C100" s="136" t="str">
        <f t="shared" ca="1" si="44"/>
        <v>Complete</v>
      </c>
      <c r="D100" s="320" t="str">
        <f t="shared" ref="D100:D103" si="46">IF(H100=1,"Click here to answer question (C)","")</f>
        <v/>
      </c>
      <c r="E100" s="17"/>
      <c r="F100" s="84">
        <f t="shared" si="45"/>
        <v>0</v>
      </c>
      <c r="G100" s="62">
        <f t="shared" ref="G100:G103" si="47">IF(B100=0,1,0)</f>
        <v>0</v>
      </c>
      <c r="H100" s="63">
        <f t="shared" ref="H100:H103" si="48">F100*G100</f>
        <v>0</v>
      </c>
      <c r="I100" s="131"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0" t="str">
        <f t="shared" si="46"/>
        <v/>
      </c>
      <c r="E101" s="17"/>
      <c r="F101" s="84">
        <f t="shared" si="45"/>
        <v>0</v>
      </c>
      <c r="G101" s="62">
        <f t="shared" si="47"/>
        <v>1</v>
      </c>
      <c r="H101" s="63">
        <f t="shared" si="48"/>
        <v>0</v>
      </c>
      <c r="I101" s="131"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0" t="str">
        <f t="shared" si="46"/>
        <v/>
      </c>
      <c r="E102" s="17"/>
      <c r="F102" s="84">
        <f t="shared" si="45"/>
        <v>0</v>
      </c>
      <c r="G102" s="62">
        <f t="shared" si="47"/>
        <v>1</v>
      </c>
      <c r="H102" s="63">
        <f t="shared" si="48"/>
        <v>0</v>
      </c>
      <c r="I102" s="131"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0" t="str">
        <f t="shared" si="46"/>
        <v/>
      </c>
      <c r="E103" s="17"/>
      <c r="F103" s="84">
        <f t="shared" si="45"/>
        <v>0</v>
      </c>
      <c r="G103" s="62">
        <f t="shared" si="47"/>
        <v>1</v>
      </c>
      <c r="H103" s="63">
        <f t="shared" si="48"/>
        <v>0</v>
      </c>
      <c r="I103" s="131"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9" t="str">
        <f>Declaration!B126</f>
        <v/>
      </c>
      <c r="B104" s="79">
        <f>Declaration!D126</f>
        <v>0</v>
      </c>
      <c r="C104" s="136">
        <f t="shared" si="44"/>
        <v>0</v>
      </c>
      <c r="D104" s="192"/>
      <c r="E104" s="17"/>
      <c r="F104" s="84"/>
      <c r="G104" s="62"/>
      <c r="H104" s="63"/>
      <c r="I104" s="131"/>
    </row>
    <row r="105" spans="1:10" ht="24.9" hidden="1" customHeight="1">
      <c r="A105" s="79" t="str">
        <f>Declaration!B127</f>
        <v/>
      </c>
      <c r="B105" s="79">
        <f>Declaration!D127</f>
        <v>0</v>
      </c>
      <c r="C105" s="136">
        <f t="shared" si="44"/>
        <v>0</v>
      </c>
      <c r="D105" s="192"/>
      <c r="E105" s="17"/>
      <c r="F105" s="84"/>
      <c r="G105" s="62"/>
      <c r="H105" s="63"/>
      <c r="I105" s="131"/>
    </row>
    <row r="106" spans="1:10" ht="24.9" hidden="1" customHeight="1">
      <c r="A106" s="79" t="str">
        <f>Declaration!B128</f>
        <v/>
      </c>
      <c r="B106" s="79">
        <f>Declaration!D128</f>
        <v>0</v>
      </c>
      <c r="C106" s="136">
        <f t="shared" si="44"/>
        <v>0</v>
      </c>
      <c r="D106" s="192"/>
      <c r="E106" s="17"/>
      <c r="F106" s="84"/>
      <c r="G106" s="62"/>
      <c r="H106" s="63"/>
      <c r="I106" s="131"/>
    </row>
    <row r="107" spans="1:10" ht="24.9" hidden="1" customHeight="1">
      <c r="A107" s="79" t="str">
        <f>Declaration!B129</f>
        <v/>
      </c>
      <c r="B107" s="79">
        <f>Declaration!D129</f>
        <v>0</v>
      </c>
      <c r="C107" s="136">
        <f t="shared" si="44"/>
        <v>0</v>
      </c>
      <c r="D107" s="192"/>
      <c r="E107" s="17"/>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7" t="s">
        <v>15</v>
      </c>
      <c r="F108" s="84">
        <f t="shared" si="43"/>
        <v>0</v>
      </c>
      <c r="G108" s="62">
        <f t="shared" si="14"/>
        <v>0</v>
      </c>
      <c r="H108" s="63">
        <f t="shared" si="15"/>
        <v>0</v>
      </c>
      <c r="I108" s="131" t="str">
        <f ca="1">OFFSET(L!$C$1,MATCH("Checker"&amp;"Comp",L!$A:$A,0)-1,SL,,)</f>
        <v>Complete</v>
      </c>
      <c r="J108" s="16"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f>Declaration!D133</f>
        <v>0</v>
      </c>
      <c r="C109" s="136" t="str">
        <f t="shared" ca="1" si="44"/>
        <v>Complete</v>
      </c>
      <c r="D109" s="320" t="str">
        <f>IF(H109=1,"Click here to answer question (E)","")</f>
        <v/>
      </c>
      <c r="E109" s="17" t="s">
        <v>15</v>
      </c>
      <c r="F109" s="84">
        <f t="shared" si="43"/>
        <v>0</v>
      </c>
      <c r="G109" s="62">
        <f>IF(B109=0,1,0)</f>
        <v>1</v>
      </c>
      <c r="H109" s="63">
        <f t="shared" si="15"/>
        <v>0</v>
      </c>
      <c r="I109" s="131" t="str">
        <f ca="1">OFFSET(L!$C$1,MATCH("Checker"&amp;"Comp",L!$A:$A,0)-1,SL,,)</f>
        <v>Complete</v>
      </c>
      <c r="J109" s="16"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0" t="str">
        <f>IF(H110=1,"Click here to answer question (F)","")</f>
        <v/>
      </c>
      <c r="E110" s="17" t="s">
        <v>15</v>
      </c>
      <c r="F110" s="84">
        <f t="shared" si="43"/>
        <v>0</v>
      </c>
      <c r="G110" s="62">
        <f>IF(B110=0,1,0)</f>
        <v>0</v>
      </c>
      <c r="H110" s="63">
        <f t="shared" si="15"/>
        <v>0</v>
      </c>
      <c r="I110" s="131" t="str">
        <f ca="1">OFFSET(L!$C$1,MATCH("Checker"&amp;"Comp",L!$A:$A,0)-1,SL,,)</f>
        <v>Complete</v>
      </c>
      <c r="J110" s="16"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0" t="str">
        <f>IF(H111=1,"Click here to answer question (G)","")</f>
        <v/>
      </c>
      <c r="E111" s="17" t="s">
        <v>15</v>
      </c>
      <c r="F111" s="84">
        <f t="shared" si="43"/>
        <v>0</v>
      </c>
      <c r="G111" s="62">
        <f t="shared" si="14"/>
        <v>0</v>
      </c>
      <c r="H111" s="63">
        <f t="shared" si="15"/>
        <v>0</v>
      </c>
      <c r="I111" s="131" t="str">
        <f ca="1">OFFSET(L!$C$1,MATCH("Checker"&amp;"Comp",L!$A:$A,0)-1,SL,,)</f>
        <v>Complete</v>
      </c>
      <c r="J111" s="16"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7" t="s">
        <v>15</v>
      </c>
      <c r="F112" s="84">
        <f>IF(B5=Declaration!Q9,1,0)</f>
        <v>0</v>
      </c>
      <c r="G112" s="62">
        <f>IF('Product List'!B6="",1,0)</f>
        <v>1</v>
      </c>
      <c r="H112" s="63">
        <f>F112*G112</f>
        <v>0</v>
      </c>
      <c r="I112" s="131"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1.9" customHeight="1">
      <c r="A113" s="80" t="s">
        <v>1115</v>
      </c>
      <c r="B113" s="79"/>
      <c r="C113" s="79"/>
      <c r="D113" s="192"/>
      <c r="E113" s="17"/>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7" t="s">
        <v>15</v>
      </c>
      <c r="F114" s="84">
        <f>F39</f>
        <v>0</v>
      </c>
      <c r="G114" s="62">
        <f>IF(AND(COUNTIF(SmelterIdetifiedForMetal,A114)&gt;0,COUNTIF('Smelter List'!AB$5:AB$2504,A114)&gt;0),0,1)</f>
        <v>1</v>
      </c>
      <c r="H114" s="63">
        <f>F114*G114</f>
        <v>0</v>
      </c>
      <c r="I114" s="131" t="str">
        <f ca="1">OFFSET(L!$C$1,MATCH("Checker"&amp;"Comp",L!$A:$A,0)-1,SL,,)</f>
        <v>Complete</v>
      </c>
      <c r="J114" s="16" t="str">
        <f ca="1">OFFSET(L!$C$1,MATCH("Checker"&amp;ADDRESS(ROW(),COLUMN(),4),L!$A:$A,0)-1,SL,,)</f>
        <v>Provide list of specified mineral smelters contributing material to supply chain on Smelter List tab</v>
      </c>
      <c r="K114" s="134">
        <f>IF(H28&gt;0,1,0)</f>
        <v>0</v>
      </c>
    </row>
    <row r="115" spans="1:12" ht="41.4" customHeight="1">
      <c r="A115" s="135" t="str">
        <f>Declaration!AA13</f>
        <v>Lithium</v>
      </c>
      <c r="B115" s="79"/>
      <c r="C115" s="136" t="str">
        <f t="shared" ca="1" si="49"/>
        <v>Complete</v>
      </c>
      <c r="D115" s="377" t="str">
        <f>IF(H115=0,"","Click here to provide smelter information")</f>
        <v/>
      </c>
      <c r="E115" s="17"/>
      <c r="F115" s="84">
        <f>F40</f>
        <v>0</v>
      </c>
      <c r="G115" s="62">
        <f>IF(AND(COUNTIF(SmelterIdetifiedForMetal,A115)&gt;0,COUNTIF('Smelter List'!AB$5:AB$2504,A115)&gt;0),0,1)</f>
        <v>1</v>
      </c>
      <c r="H115" s="63">
        <f>F115*G115</f>
        <v>0</v>
      </c>
      <c r="I115" s="131" t="str">
        <f ca="1">OFFSET(L!$C$1,MATCH("Checker"&amp;"Comp",L!$A:$A,0)-1,SL,,)</f>
        <v>Complete</v>
      </c>
      <c r="J115" s="16" t="str">
        <f ca="1">OFFSET(L!$C$1,MATCH("Checker"&amp;ADDRESS(ROW(),COLUMN(),4),L!$A:$A,0)-1,SL,,)</f>
        <v>Provide list of specified mineral smelters contributing material to supply chain on Smelter List tab</v>
      </c>
      <c r="K115" s="134">
        <f t="shared" ref="K115:K119" si="50">IF(H29&gt;0,1,0)</f>
        <v>0</v>
      </c>
    </row>
    <row r="116" spans="1:12" ht="41.4" customHeight="1">
      <c r="A116" s="135" t="str">
        <f>Declaration!AA14</f>
        <v>Mica</v>
      </c>
      <c r="B116" s="79"/>
      <c r="C116" s="136" t="str">
        <f t="shared" ca="1" si="49"/>
        <v>Complete</v>
      </c>
      <c r="D116" s="377" t="str">
        <f t="shared" ref="D116:D119" si="51">IF(H116=0,"","Click here to provide smelter information")</f>
        <v/>
      </c>
      <c r="E116" s="17"/>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6" t="str">
        <f ca="1">OFFSET(L!$C$1,MATCH("Checker"&amp;ADDRESS(ROW(),COLUMN(),4),L!$A:$A,0)-1,SL,,)</f>
        <v>Provide list of specified mineral smelters contributing material to supply chain on Smelter List tab</v>
      </c>
      <c r="K116" s="134">
        <f t="shared" si="50"/>
        <v>0</v>
      </c>
    </row>
    <row r="117" spans="1:12" ht="41.4" customHeight="1">
      <c r="A117" s="135" t="str">
        <f>Declaration!AA15</f>
        <v/>
      </c>
      <c r="B117" s="79"/>
      <c r="C117" s="136" t="str">
        <f t="shared" ca="1" si="49"/>
        <v>Complete</v>
      </c>
      <c r="D117" s="377" t="str">
        <f t="shared" si="51"/>
        <v/>
      </c>
      <c r="E117" s="17"/>
      <c r="F117" s="84">
        <f t="shared" si="52"/>
        <v>0</v>
      </c>
      <c r="G117" s="62">
        <f>IF(AND(COUNTIF(SmelterIdetifiedForMetal,A117)&gt;0,COUNTIF('Smelter List'!AB$5:AB$2504,A117)&gt;0),0,1)</f>
        <v>0</v>
      </c>
      <c r="H117" s="63">
        <f t="shared" si="53"/>
        <v>0</v>
      </c>
      <c r="I117" s="131" t="str">
        <f ca="1">OFFSET(L!$C$1,MATCH("Checker"&amp;"Comp",L!$A:$A,0)-1,SL,,)</f>
        <v>Complete</v>
      </c>
      <c r="J117" s="16" t="str">
        <f ca="1">OFFSET(L!$C$1,MATCH("Checker"&amp;ADDRESS(ROW(),COLUMN(),4),L!$A:$A,0)-1,SL,,)</f>
        <v>Provide list of specified mineral smelters contributing material to supply chain on Smelter List tab</v>
      </c>
      <c r="K117" s="134">
        <f t="shared" si="50"/>
        <v>0</v>
      </c>
    </row>
    <row r="118" spans="1:12" ht="41.4" customHeight="1">
      <c r="A118" s="135" t="str">
        <f>Declaration!AA16</f>
        <v/>
      </c>
      <c r="B118" s="79"/>
      <c r="C118" s="136" t="str">
        <f t="shared" ca="1" si="49"/>
        <v>Complete</v>
      </c>
      <c r="D118" s="377" t="str">
        <f t="shared" si="51"/>
        <v/>
      </c>
      <c r="E118" s="17"/>
      <c r="F118" s="84">
        <f t="shared" si="52"/>
        <v>0</v>
      </c>
      <c r="G118" s="62">
        <f>IF(AND(COUNTIF(SmelterIdetifiedForMetal,A118)&gt;0,COUNTIF('Smelter List'!AB$5:AB$2504,A118)&gt;0),0,1)</f>
        <v>0</v>
      </c>
      <c r="H118" s="63">
        <f t="shared" si="53"/>
        <v>0</v>
      </c>
      <c r="I118" s="131" t="str">
        <f ca="1">OFFSET(L!$C$1,MATCH("Checker"&amp;"Comp",L!$A:$A,0)-1,SL,,)</f>
        <v>Complete</v>
      </c>
      <c r="J118" s="16" t="str">
        <f ca="1">OFFSET(L!$C$1,MATCH("Checker"&amp;ADDRESS(ROW(),COLUMN(),4),L!$A:$A,0)-1,SL,,)</f>
        <v>Provide list of specified mineral smelters contributing material to supply chain on Smelter List tab</v>
      </c>
      <c r="K118" s="134">
        <f t="shared" si="50"/>
        <v>0</v>
      </c>
    </row>
    <row r="119" spans="1:12" ht="41.4" customHeight="1">
      <c r="A119" s="135" t="str">
        <f>Declaration!AA17</f>
        <v/>
      </c>
      <c r="B119" s="79"/>
      <c r="C119" s="136" t="str">
        <f t="shared" ca="1" si="49"/>
        <v>Complete</v>
      </c>
      <c r="D119" s="377" t="str">
        <f t="shared" si="51"/>
        <v/>
      </c>
      <c r="E119" s="17"/>
      <c r="F119" s="84">
        <f t="shared" si="52"/>
        <v>0</v>
      </c>
      <c r="G119" s="62">
        <f>IF(AND(COUNTIF(SmelterIdetifiedForMetal,A119)&gt;0,COUNTIF('Smelter List'!AB$5:AB$2504,A119)&gt;0),0,1)</f>
        <v>0</v>
      </c>
      <c r="H119" s="63">
        <f t="shared" si="53"/>
        <v>0</v>
      </c>
      <c r="I119" s="131" t="str">
        <f ca="1">OFFSET(L!$C$1,MATCH("Checker"&amp;"Comp",L!$A:$A,0)-1,SL,,)</f>
        <v>Complete</v>
      </c>
      <c r="J119" s="16" t="str">
        <f ca="1">OFFSET(L!$C$1,MATCH("Checker"&amp;ADDRESS(ROW(),COLUMN(),4),L!$A:$A,0)-1,SL,,)</f>
        <v>Provide list of specified mineral smelters contributing material to supply chain on Smelter List tab</v>
      </c>
      <c r="K119" s="134">
        <f t="shared" si="50"/>
        <v>0</v>
      </c>
    </row>
    <row r="120" spans="1:12" ht="24.9" hidden="1" customHeight="1">
      <c r="A120" s="135" t="str">
        <f>Declaration!AA18</f>
        <v/>
      </c>
      <c r="B120" s="79"/>
      <c r="C120" s="136">
        <f t="shared" si="49"/>
        <v>0</v>
      </c>
      <c r="D120" s="219"/>
      <c r="E120" s="17"/>
      <c r="F120" s="84"/>
      <c r="G120" s="62"/>
      <c r="H120" s="63"/>
      <c r="I120" s="131"/>
      <c r="K120" s="134"/>
    </row>
    <row r="121" spans="1:12" ht="24.9" hidden="1" customHeight="1">
      <c r="A121" s="135" t="str">
        <f>Declaration!AA19</f>
        <v/>
      </c>
      <c r="B121" s="79"/>
      <c r="C121" s="136">
        <f t="shared" si="49"/>
        <v>0</v>
      </c>
      <c r="D121" s="219"/>
      <c r="E121" s="17"/>
      <c r="F121" s="84"/>
      <c r="G121" s="62"/>
      <c r="H121" s="63"/>
      <c r="I121" s="131"/>
      <c r="K121" s="134"/>
    </row>
    <row r="122" spans="1:12" ht="24.9" hidden="1" customHeight="1">
      <c r="A122" s="135" t="str">
        <f>Declaration!AA20</f>
        <v/>
      </c>
      <c r="B122" s="79"/>
      <c r="C122" s="136">
        <f t="shared" si="49"/>
        <v>0</v>
      </c>
      <c r="D122" s="85"/>
      <c r="E122" s="17" t="s">
        <v>15</v>
      </c>
      <c r="F122" s="84"/>
      <c r="G122" s="62"/>
      <c r="H122" s="63"/>
      <c r="I122" s="131"/>
      <c r="K122" s="134"/>
    </row>
    <row r="123" spans="1:12" ht="24.9" hidden="1" customHeight="1">
      <c r="A123" s="135" t="str">
        <f>Declaration!AA21</f>
        <v/>
      </c>
      <c r="B123" s="79"/>
      <c r="C123" s="136">
        <f t="shared" si="49"/>
        <v>0</v>
      </c>
      <c r="D123" s="85"/>
      <c r="E123" s="17" t="s">
        <v>15</v>
      </c>
      <c r="F123" s="84"/>
      <c r="G123" s="62"/>
      <c r="H123" s="63"/>
      <c r="I123" s="131"/>
      <c r="K123" s="134"/>
    </row>
    <row r="124" spans="1:12" ht="24.9" customHeight="1">
      <c r="A124" s="141" t="s">
        <v>55</v>
      </c>
      <c r="B124" s="79"/>
      <c r="C124" s="141" t="str">
        <f ca="1">IF(F124=0,J124,IF(G124=0,I124,L124))</f>
        <v>N/A</v>
      </c>
      <c r="D124" s="219" t="str">
        <f ca="1">IF(H124=0,"","Click here to provide smelter information")</f>
        <v/>
      </c>
      <c r="E124" s="17"/>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6" t="s">
        <v>56</v>
      </c>
      <c r="K124" s="134"/>
      <c r="L124" s="16" t="s">
        <v>57</v>
      </c>
    </row>
    <row r="125" spans="1:12">
      <c r="H125" s="16">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5" customWidth="1"/>
    <col min="2" max="2" width="34.90625" style="345" customWidth="1"/>
    <col min="3" max="3" width="23.26953125" style="345" customWidth="1"/>
    <col min="4" max="5" width="15.453125" style="345" customWidth="1"/>
    <col min="6" max="6" width="28.453125" style="345" customWidth="1"/>
    <col min="7" max="7" width="27.26953125" style="345" customWidth="1"/>
    <col min="8" max="8" width="20.7265625" style="345" customWidth="1"/>
    <col min="9" max="9" width="30.90625" style="345" customWidth="1"/>
    <col min="10" max="10" width="23.26953125" style="345" customWidth="1"/>
    <col min="11" max="11" width="39.7265625" style="345" customWidth="1"/>
    <col min="12" max="12" width="47.7265625" style="345" customWidth="1"/>
    <col min="13" max="13" width="36.26953125" style="345" customWidth="1"/>
    <col min="14" max="14" width="15.08984375" style="345" hidden="1" customWidth="1"/>
    <col min="15" max="15" width="18.7265625" style="345" hidden="1" customWidth="1"/>
    <col min="16" max="16" width="14.08984375" style="345" hidden="1" customWidth="1"/>
    <col min="17" max="17" width="18.453125" style="345" hidden="1" customWidth="1"/>
    <col min="18" max="18" width="17.7265625" style="345" hidden="1" customWidth="1"/>
    <col min="19" max="19" width="22.453125" style="345" hidden="1" customWidth="1"/>
    <col min="20" max="20" width="16.7265625" style="345" customWidth="1"/>
    <col min="21" max="21" width="14" style="345" customWidth="1"/>
    <col min="22" max="22" width="15.453125" style="345" customWidth="1"/>
    <col min="23" max="23" width="11" style="345" customWidth="1"/>
    <col min="24" max="26" width="10" style="345" customWidth="1"/>
  </cols>
  <sheetData>
    <row r="1" spans="1:19" ht="7.5" hidden="1" customHeight="1"/>
    <row r="2" spans="1:19" s="323" customFormat="1" ht="22.2">
      <c r="A2" s="324"/>
      <c r="B2" s="471" t="str">
        <f ca="1">OFFSET(L!$C$1,MATCH("Mine List"&amp;ADDRESS(ROW(),COLUMN(),4),L!$A:$A,0)-1,SL,,)</f>
        <v>TO BEGIN:</v>
      </c>
      <c r="C2" s="471" t="s">
        <v>19178</v>
      </c>
      <c r="D2" s="471" t="s">
        <v>19178</v>
      </c>
      <c r="E2" s="325"/>
      <c r="F2" s="325"/>
      <c r="G2" s="326"/>
      <c r="H2" s="472"/>
      <c r="I2" s="473"/>
      <c r="J2" s="473"/>
      <c r="K2" s="473"/>
      <c r="L2" s="473"/>
      <c r="M2" s="473"/>
      <c r="N2" s="327"/>
      <c r="O2" s="327"/>
    </row>
    <row r="3" spans="1:19" s="323" customFormat="1" ht="93.9" customHeight="1" thickBot="1">
      <c r="A3" s="359"/>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8"/>
      <c r="I3" s="329"/>
      <c r="K3" s="330"/>
      <c r="L3" s="330"/>
      <c r="M3" s="331" t="s">
        <v>20117</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19107</v>
      </c>
      <c r="S4" s="334" t="s">
        <v>19108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19177</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19177</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19177</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19177</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19177</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19177</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19177</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19177</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19177</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19177</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19177</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19177</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19177</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19177</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19177</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19177</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19177</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19177</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19177</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19177</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19177</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19177</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19177</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19177</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19177</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19177</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19177</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19177</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19177</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19177</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19177</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19177</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19177</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19177</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19177</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19177</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19177</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19177</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19177</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19177</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19177</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19177</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19177</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19177</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19177</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19177</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19177</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19177</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19177</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19177</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19177</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19177</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19177</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19177</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19177</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19177</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19177</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19177</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19177</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19177</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19177</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19177</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19177</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19177</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19177</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19177</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19177</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19177</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19177</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19177</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19177</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19177</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19177</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19177</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19177</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19177</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19177</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19177</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19177</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19177</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19177</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19177</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19177</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19177</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19177</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19177</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19177</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19177</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19177</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19177</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19177</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19177</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19177</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19177</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19177</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19177</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19177</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19177</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19177</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19177</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19177</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19177</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19177</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19177</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19177</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19177</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19177</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19177</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19177</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19177</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19177</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19177</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19177</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19177</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19177</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19177</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19177</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19177</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19177</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19177</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19177</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19177</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19177</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19177</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19177</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19177</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19177</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19177</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19177</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19177</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19177</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19177</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19177</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19177</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19177</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19177</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19177</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19177</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19177</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19177</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19177</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19177</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19177</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19177</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19177</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19177</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19177</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19177</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19177</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19177</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19177</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19177</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19177</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19177</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19177</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19177</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19177</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19177</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19177</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19177</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19177</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19177</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19177</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19177</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19177</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19177</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19177</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19177</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19177</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19177</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19177</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19177</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19177</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19177</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19177</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19177</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19177</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19177</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19177</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19177</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19177</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19177</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19177</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19177</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19177</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19177</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19177</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19177</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19177</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19177</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19177</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19177</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19177</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19177</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19177</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19177</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19177</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19177</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19177</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19177</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19177</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19177</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19177</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19177</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19177</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19177</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19177</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19177</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19177</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19177</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19177</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19177</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19177</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19177</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19177</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19177</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19177</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19177</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19177</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19177</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19177</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19177</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19177</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19177</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19177</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19177</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19177</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19177</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19177</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19177</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19177</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19177</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19177</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19177</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19177</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19177</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19177</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19177</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19177</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19177</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19177</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19177</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19177</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19177</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19177</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19177</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19177</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19177</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19177</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19177</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19177</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19177</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19177</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19177</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19177</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19177</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19177</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19177</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19177</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19177</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19177</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19177</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19177</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19177</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19177</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19177</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19177</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19177</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19177</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19177</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19177</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19177</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19177</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19177</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19177</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19177</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19177</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19177</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19177</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19177</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19177</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19177</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19177</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19177</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19177</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19177</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19177</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19177</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19177</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19177</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19177</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19177</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19177</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19177</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19177</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19177</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19177</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19177</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19177</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19177</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19177</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19177</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19177</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19177</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19177</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19177</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19177</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19177</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19177</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19177</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19177</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19177</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19177</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19177</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19177</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19177</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19177</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19177</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19177</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19177</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19177</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19177</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19177</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19177</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19177</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19177</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19177</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19177</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19177</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19177</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19177</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19177</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19177</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19177</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19177</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19177</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19177</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19177</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19177</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19177</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19177</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19177</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19177</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19177</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19177</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19177</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19177</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19177</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19177</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19177</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19177</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19177</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19177</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19177</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19177</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19177</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19177</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19177</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19177</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19177</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19177</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19177</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19177</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19177</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19177</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19177</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19177</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19177</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19177</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19177</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19177</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19177</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19177</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19177</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19177</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19177</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19177</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19177</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19177</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19177</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19177</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19177</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19177</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19177</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19177</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19177</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19177</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19177</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19177</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19177</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19177</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19177</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19177</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19177</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19177</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19177</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19177</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19177</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19177</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19177</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19177</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19177</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19177</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19177</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19177</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19177</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19177</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19177</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19177</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19177</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19177</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19177</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19177</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19177</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19177</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19177</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19177</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19177</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19177</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19177</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19177</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19177</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19177</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19177</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19177</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19177</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19177</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19177</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19177</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19177</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19177</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19177</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19177</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19177</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19177</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19177</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19177</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19177</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19177</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19177</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19177</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19177</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19177</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19177</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19177</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19177</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19177</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19177</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19177</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19177</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19177</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19177</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19177</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19177</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19177</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19177</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19177</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19177</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19177</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19177</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19177</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19177</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19177</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19177</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19177</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19177</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19177</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19177</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19177</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19177</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19177</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19177</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19177</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19177</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19177</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19177</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19177</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19177</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19177</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19177</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19177</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19177</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19177</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19177</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19177</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19177</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19177</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19177</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19177</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19177</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19177</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19177</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19177</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19177</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19177</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19177</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19177</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19177</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19177</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19177</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19177</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19177</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19177</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19177</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19177</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19177</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19177</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19177</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19177</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19177</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19177</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19177</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19177</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19177</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19177</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19177</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19177</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19177</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19177</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19177</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19177</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19177</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19177</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19177</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19177</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19177</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19177</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19177</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19177</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19177</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19177</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19177</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19177</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19177</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19177</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19177</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19177</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19177</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19177</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19177</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19177</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19177</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19177</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19177</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19177</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19177</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19177</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19177</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19177</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19177</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19177</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19177</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19177</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19177</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19177</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19177</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19177</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19177</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19177</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19177</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19177</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19177</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19177</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19177</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19177</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19177</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19177</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19177</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19177</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19177</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19177</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19177</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19177</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19177</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19177</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19177</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19177</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19177</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19177</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19177</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19177</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19177</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19177</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19177</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19177</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19177</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19177</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19177</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19177</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19177</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19177</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19177</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19177</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19177</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19177</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19177</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19177</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19177</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19177</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19177</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19177</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19177</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19177</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19177</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19177</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19177</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19177</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19177</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19177</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19177</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19177</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19177</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19177</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19177</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19177</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19177</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19177</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19177</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19177</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19177</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19177</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19177</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19177</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19177</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19177</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19177</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19177</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19177</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19177</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19177</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19177</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19177</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19177</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19177</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19177</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19177</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19177</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19177</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19177</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19177</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19177</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19177</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19177</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19177</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19177</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19177</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19177</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19177</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19177</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19177</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19177</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19177</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19177</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19177</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19177</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19177</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19177</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19177</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19177</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19177</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19177</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19177</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19177</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19177</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19177</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19177</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19177</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19177</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19177</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19177</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19177</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19177</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19177</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19177</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19177</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19177</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19177</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19177</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19177</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19177</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19177</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19177</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19177</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19177</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19177</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19177</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19177</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19177</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19177</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19177</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19177</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19177</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19177</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19177</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19177</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19177</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19177</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19177</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19177</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19177</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19177</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19177</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19177</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19177</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19177</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19177</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19177</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19177</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19177</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19177</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19177</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19177</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19177</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19177</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19177</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19177</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19177</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19177</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19177</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19177</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19177</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19177</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19177</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19177</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19177</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19177</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19177</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19177</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19177</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19177</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19177</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19177</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19177</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19177</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19177</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19177</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19177</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19177</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19177</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19177</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19177</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19177</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19177</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19177</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19177</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19177</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19177</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19177</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19177</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19177</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19177</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19177</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19177</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19177</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19177</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19177</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19177</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19177</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19177</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19177</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19177</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19177</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19177</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19177</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19177</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19177</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19177</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19177</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19177</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19177</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19177</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19177</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19177</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19177</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19177</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19177</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19177</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19177</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19177</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19177</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19177</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19177</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19177</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19177</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19177</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19177</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19177</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19177</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19177</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19177</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19177</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19177</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19177</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19177</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19177</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19177</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19177</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19177</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19177</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19177</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19177</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19177</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19177</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19177</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19177</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19177</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19177</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19177</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19177</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19177</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19177</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19177</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19177</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19177</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19177</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19177</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19177</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19177</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19177</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19177</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19177</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19177</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19177</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19177</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19177</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19177</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19177</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19177</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19177</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19177</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19177</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19177</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19177</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19177</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19177</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19177</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19177</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19177</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19177</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19177</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19177</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19177</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19177</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19177</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19177</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19177</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19177</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19177</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19177</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19177</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19177</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19177</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19177</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19177</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19177</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19177</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19177</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19177</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19177</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19177</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19177</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19177</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19177</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19177</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19177</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19177</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19177</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19177</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19177</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19177</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19177</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19177</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19177</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19177</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19177</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19177</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19177</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19177</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19177</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19177</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19177</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19177</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19177</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19177</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19177</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19177</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19177</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19177</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19177</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19177</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19177</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19177</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19177</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19177</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19177</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19177</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19177</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19177</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19177</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19177</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19177</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19177</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19177</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19177</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19177</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19177</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19177</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19177</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19177</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19177</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19177</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19177</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19177</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19177</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19177</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19177</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19177</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19177</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19177</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19177</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19177</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19177</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19177</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19177</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19177</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19177</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19177</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19177</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19177</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19177</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19177</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19177</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19177</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19177</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19177</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19177</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19177</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19177</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19177</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19177</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19177</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19177</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19177</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19177</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19177</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19177</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19177</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19177</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19177</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19177</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19177</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19177</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19177</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19177</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19177</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19177</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19177</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19177</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19177</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19177</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19177</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19177</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19177</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19177</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19177</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19177</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19177</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19177</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19177</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19177</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19177</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19177</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19177</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19177</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19177</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19177</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19177</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19177</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19177</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19177</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19177</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19177</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19177</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19177</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19177</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19177</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19177</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19177</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19177</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19177</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19177</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19177</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19177</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19177</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19177</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19177</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19177</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19177</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19177</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19177</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19177</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19177</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19177</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19177</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19177</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19177</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19177</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19177</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19177</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19177</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19177</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19177</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19177</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19177</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19177</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19177</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19177</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19177</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19177</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19177</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19177</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19177</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19177</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19177</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19177</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19177</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19177</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19177</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19177</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19177</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19177</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19177</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19177</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19177</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19177</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19177</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19177</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19177</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19177</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19177</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19177</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19177</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19177</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19177</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19177</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19177</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19177</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19177</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19177</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19177</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19177</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19177</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19177</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19177</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19177</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19177</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19177</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19177</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19177</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19177</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19177</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19177</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19177</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19177</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19177</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19177</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19177</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19177</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19177</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19177</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19177</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19177</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19177</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19177</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19177</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19177</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19177</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19177</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19177</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19177</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19177</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19177</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19177</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19177</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19177</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19177</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19177</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19177</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19177</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19177</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19177</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19177</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19177</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19177</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19177</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19177</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19177</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19177</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19177</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19177</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19177</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19177</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19177</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19177</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19177</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19177</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19177</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19177</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19177</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19177</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19177</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19177</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19177</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19177</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19177</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19177</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19177</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19177</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19177</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19177</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19177</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19177</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19177</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19177</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19177</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19177</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19177</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19177</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19177</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19177</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19177</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19177</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19177</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19177</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19177</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19177</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19177</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19177</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19177</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19177</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19177</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19177</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19177</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19177</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19177</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19177</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19177</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19177</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19177</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19177</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19177</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19177</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19177</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19177</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19177</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19177</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19177</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19177</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19177</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19177</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19177</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19177</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19177</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19177</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19177</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19177</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19177</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19177</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19177</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19177</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19177</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19177</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19177</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19177</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19177</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19177</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19177</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19177</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19177</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19177</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19177</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19177</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19177</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19177</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19177</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19177</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19177</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19177</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19177</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19177</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19177</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19177</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19177</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19177</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19177</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19177</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19177</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19177</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19177</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19177</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19177</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19177</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19177</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19177</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19177</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19177</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19177</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19177</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19177</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19177</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19177</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19177</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19177</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19177</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19177</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19177</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19177</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19177</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19177</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19177</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19177</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19177</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19177</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19177</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19177</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19177</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19177</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19177</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19177</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19177</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19177</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19177</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19177</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19177</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19177</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19177</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19177</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19177</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19177</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19177</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19177</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19177</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19177</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19177</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19177</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19177</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19177</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19177</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19177</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19177</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19177</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19177</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19177</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19177</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19177</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19177</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19177</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19177</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19177</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19177</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19177</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19177</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19177</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19177</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19177</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19177</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19177</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19177</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19177</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19177</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19177</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19177</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19177</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19177</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19177</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19177</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19177</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19177</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19177</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19177</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19177</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19177</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19177</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19177</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19177</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19177</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19177</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19177</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19177</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19177</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19177</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19177</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19177</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19177</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19177</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19177</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19177</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19177</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19177</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19177</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19177</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19177</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19177</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19177</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19177</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19177</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19177</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19177</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19177</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19177</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19177</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19177</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19177</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19177</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19177</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19177</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19177</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19177</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19177</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19177</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19177</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19177</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19177</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19177</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19177</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19177</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19177</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19177</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19177</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19177</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19177</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19177</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19177</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19177</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19177</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19177</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19177</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19177</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19177</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19177</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19177</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19177</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19177</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19177</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19177</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19177</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19177</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19177</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19177</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19177</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19177</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19177</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19177</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19177</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19177</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19177</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19177</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19177</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19177</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19177</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19177</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19177</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19177</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19177</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19177</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19177</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19177</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19177</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19177</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19177</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19177</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19177</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19177</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19177</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19177</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19177</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19177</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19177</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19177</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19177</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19177</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19177</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19177</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19177</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19177</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19177</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19177</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19177</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19177</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19177</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19177</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19177</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19177</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19177</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19177</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19177</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19177</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19177</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19177</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19177</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19177</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19177</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19177</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19177</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19177</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19177</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19177</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19177</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19177</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19177</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19177</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19177</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19177</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19177</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19177</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19177</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19177</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19177</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19177</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19177</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19177</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19177</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19177</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19177</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19177</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19177</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19177</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19177</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19177</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19177</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19177</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19177</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19177</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19177</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19177</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19177</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19177</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19177</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19177</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19177</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19177</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19177</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19177</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19177</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19177</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19177</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19177</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19177</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19177</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19177</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19177</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19177</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19177</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19177</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19177</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19177</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19177</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19177</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19177</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19177</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19177</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19177</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19177</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19177</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19177</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19177</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19177</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19177</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19177</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19177</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19177</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19177</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19177</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19177</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19177</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19177</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19177</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19177</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19177</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19177</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19177</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19177</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19177</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19177</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19177</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19177</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19177</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19177</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19177</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19177</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19177</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19177</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19177</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19177</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19177</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19177</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19177</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19177</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19177</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19177</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19177</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19177</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19177</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19177</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19177</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19177</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19177</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19177</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19177</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19177</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19177</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19177</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19177</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19177</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19177</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19177</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19177</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19177</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19177</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19177</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19177</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19177</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19177</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19177</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19177</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19177</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19177</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19177</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19177</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19177</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19177</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19177</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19177</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19177</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19177</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19177</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19177</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19177</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19177</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19177</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19177</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19177</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19177</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19177</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19177</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19177</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19177</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19177</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19177</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19177</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19177</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19177</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19177</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19177</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19177</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19177</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19177</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19177</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19177</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19177</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19177</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19177</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19177</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19177</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19177</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19177</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19177</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19177</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19177</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19177</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19177</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19177</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19177</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19177</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19177</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19177</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19177</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19177</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19177</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19177</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19177</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19177</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19177</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19177</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19177</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19177</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19177</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19177</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19177</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19177</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19177</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19177</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19177</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19177</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19177</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19177</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19177</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19177</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19177</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19177</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19177</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19177</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19177</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19177</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19177</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19177</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19177</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19177</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19177</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19177</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19177</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19177</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19177</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19177</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19177</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19177</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19177</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19177</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19177</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19177</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19177</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19177</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19177</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19177</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19177</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19177</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19177</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19177</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19177</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19177</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19177</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19177</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19177</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19177</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19177</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19177</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19177</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19177</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19177</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19177</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19177</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19177</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19177</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19177</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19177</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19177</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19177</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19177</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19177</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19177</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19177</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19177</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19177</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19177</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19177</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19177</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19177</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19177</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19177</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19177</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19177</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19177</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19177</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19177</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19177</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19177</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19177</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19177</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19177</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19177</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19177</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19177</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19177</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19177</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19177</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19177</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19177</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19177</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19177</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19177</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19177</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19177</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19177</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19177</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19177</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19177</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19177</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19177</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19177</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19177</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19177</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19177</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19177</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19177</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19177</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19177</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19177</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19177</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19177</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19177</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19177</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19177</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19177</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19177</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19177</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19177</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19177</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19177</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19177</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19177</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19177</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19177</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19177</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19177</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19177</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19177</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19177</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19177</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19177</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19177</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19177</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19177</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19177</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19177</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19177</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19177</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19177</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19177</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19177</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19177</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19177</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19177</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19177</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19177</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19177</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19177</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19177</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19177</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19177</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19177</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19177</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19177</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19177</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19177</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19177</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19177</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19177</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19177</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19177</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19177</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19177</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19177</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19177</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19177</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19177</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19177</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19177</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19177</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19177</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19177</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19177</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19177</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19177</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19177</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19177</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19177</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19177</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19177</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19177</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19177</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19177</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19177</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19177</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19177</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19177</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19177</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19177</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19177</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19177</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19177</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19177</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19177</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19177</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19177</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19177</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19177</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19177</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19177</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19177</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19177</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19177</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19177</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19177</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19177</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19177</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19177</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19177</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19177</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19177</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19177</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19177</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19177</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19177</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19177</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19177</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19177</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19177</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19177</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19177</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19177</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19177</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19177</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19177</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19177</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19177</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19177</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19177</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19177</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19177</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19177</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19177</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19177</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19177</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19177</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19177</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19177</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19177</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19177</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19177</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19177</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19177</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19177</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19177</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19177</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19177</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19177</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19177</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19177</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19177</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19177</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19177</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19177</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19177</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19177</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19177</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19177</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19177</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19177</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19177</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19177</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19177</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19177</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19177</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19177</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19177</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19177</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19177</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19177</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19177</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19177</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19177</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19177</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19177</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19177</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19177</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19177</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19177</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19177</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19177</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19177</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19177</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19177</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19177</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19177</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19177</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19177</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19177</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19177</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19177</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19177</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19177</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19177</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19177</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19177</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19177</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19177</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19177</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19177</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19177</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19177</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19177</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19177</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19177</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19177</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19177</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19177</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19177</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19177</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19177</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19177</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19177</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19177</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19177</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19177</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19177</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19177</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19177</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19177</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19177</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19177</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19177</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19177</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19177</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19177</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19177</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19177</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19177</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19177</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19177</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19177</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19177</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19177</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19177</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19177</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19177</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19177</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19177</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19177</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19177</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19177</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19177</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19177</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19177</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19177</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19177</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19177</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19177</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19177</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19177</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19177</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19177</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19177</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19177</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19177</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19177</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19177</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19177</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19177</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19177</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19177</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19177</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19177</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19177</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19177</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19177</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19177</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19177</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19177</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19177</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19177</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19177</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19177</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19177</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19177</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19177</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19177</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19177</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19177</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19177</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19177</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19177</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19177</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19177</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19177</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19177</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19177</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19177</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19177</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19177</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19177</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19177</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19177</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19177</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19177</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19177</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19177</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19177</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19177</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19177</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19177</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19177</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19177</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19177</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19177</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19177</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19177</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19177</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19177</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19177</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19177</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19177</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19177</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19177</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19177</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19177</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19177</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19177</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19177</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19177</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19177</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19177</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19177</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19177</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19177</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19177</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19177</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19177</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19177</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19177</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19177</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19177</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19177</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19177</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19177</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19177</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19177</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19177</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19177</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19177</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19177</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19177</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19177</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19177</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19177</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19177</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19177</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19177</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19177</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19177</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19177</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19177</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19177</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19177</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19177</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19177</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19177</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19177</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19177</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19177</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19177</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19177</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19177</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19177</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19177</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19177</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19177</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19177</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19177</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19177</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19177</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19177</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19177</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19177</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19177</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19177</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19177</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19177</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19177</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19177</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19177</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19177</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19177</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19177</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19177</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19177</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19177</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19177</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19177</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19177</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19177</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19177</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19177</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19177</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19177</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19177</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19177</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19177</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19177</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19177</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19177</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19177</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19177</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19177</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19177</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19177</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19177</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19177</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19177</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19177</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19177</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19177</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19177</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19177</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19177</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19177</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19177</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19177</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19177</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19177</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19177</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19177</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19177</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19177</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19177</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19177</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19177</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19177</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19177</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19177</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19177</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19177</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19177</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19177</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19177</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19177</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19177</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19177</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19177</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19177</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19177</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19177</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19177</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19177</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19177</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19177</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19177</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19177</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19177</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19177</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19177</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19177</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19177</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19177</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19177</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19177</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19177</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19177</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19177</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19177</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19177</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19177</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19177</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19177</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19177</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19177</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19177</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19177</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19177</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19177</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19177</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19177</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19177</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19177</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19177</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19177</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19177</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19177</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19177</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19177</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19177</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19177</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19177</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19177</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19177</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19177</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19177</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19177</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19177</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19177</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19177</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19177</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19177</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19177</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19177</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19177</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19177</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19177</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19177</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19177</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19177</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19177</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19177</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19177</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19177</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19177</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19177</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19177</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19177</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19177</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19177</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19177</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19177</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19177</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19177</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19177</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19177</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19177</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19177</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19177</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19177</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19177</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19177</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19177</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19177</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19177</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19177</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19177</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19177</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19177</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19177</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19177</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19177</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19177</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19177</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19177</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19177</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19177</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19177</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19177</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19177</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19177</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19177</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19177</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19177</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19177</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19177</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19177</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19177</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19177</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19177</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19177</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19177</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19177</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19177</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19177</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19177</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19177</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19177</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19177</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19177</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19177</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19177</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19177</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19177</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19177</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19177</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19177</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19177</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19177</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19177</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19177</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19177</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19177</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19177</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19177</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19177</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19177</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19177</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19177</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19177</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19177</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19177</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19177</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19177</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19177</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19177</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19177</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19177</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19177</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19177</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19177</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19177</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19177</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19177</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19177</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19177</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19177</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19177</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19177</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19177</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19177</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19177</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19177</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19177</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19177</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19177</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19177</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19177</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19177</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19177</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19177</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19177</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19177</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19177</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19177</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19177</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19177</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19177</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19177</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19177</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19177</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19177</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19177</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19177</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19177</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19177</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19177</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19177</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19177</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19177</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19177</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19177</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19177</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19177</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19177</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19177</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19177</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19177</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19177</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19177</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19177</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19177</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19177</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19177</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19177</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19177</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19177</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19177</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19177</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19177</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19177</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19177</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19177</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19177</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19177</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19177</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19177</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19177</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19177</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19177</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19177</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19177</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19177</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19177</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19177</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19177</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19177</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19177</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19177</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19177</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19177</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19177</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19177</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19177</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19177</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19177</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19177</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19177</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19177</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19177</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19177</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19177</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19177</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19177</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19177</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19177</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19177</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19177</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19177</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19177</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19177</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19177</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19177</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19177</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19177</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19177</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19177</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19177</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19177</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19177</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19177</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19177</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19177</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19177</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19177</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19177</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19177</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19177</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19177</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19177</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19177</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19177</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19177</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19177</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19177</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19177</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19177</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19177</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19177</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19177</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19177</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19177</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19177</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19177</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19177</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19177</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19177</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19177</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19177</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19177</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19177</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19177</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19177</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19177</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19177</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19177</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19177</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19177</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19177</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19177</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19177</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19177</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19177</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19177</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19177</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19177</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19177</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19177</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19177</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19177</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19177</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19177</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19177</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19177</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19177</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19177</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19177</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19177</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19177</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19177</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19177</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19177</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19177</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19177</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19177</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19177</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19177</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19177</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19177</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19177</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19177</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19177</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19177</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19177</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19177</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19177</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19177</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19177</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19177</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19177</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19177</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19177</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19177</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19177</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19177</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19177</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19177</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19177</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19177</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19177</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19177</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19177</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19177</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19177</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19177</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19177</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19177</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19177</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19177</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19177</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19177</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19177</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19177</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19177</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19177</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19177</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19177</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19177</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19177</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19177</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 customHeight="1"/>
    <row r="2510" spans="1:19" s="345"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6" customWidth="1"/>
    <col min="2" max="2" width="40" style="91" customWidth="1"/>
    <col min="3" max="5" width="40" style="16" customWidth="1"/>
    <col min="6" max="6" width="59" style="16" customWidth="1"/>
    <col min="7" max="7" width="1.7265625" style="16" customWidth="1"/>
    <col min="8" max="8" width="72" customWidth="1"/>
    <col min="9" max="37" width="9" customWidth="1"/>
    <col min="38" max="16384" width="9" style="18"/>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7"/>
    </row>
    <row r="2" spans="1:37" ht="13.2">
      <c r="A2" s="20"/>
      <c r="B2" s="109"/>
      <c r="C2" s="109"/>
      <c r="D2" s="109"/>
      <c r="E2" s="109"/>
      <c r="F2"/>
      <c r="G2" s="21"/>
    </row>
    <row r="3" spans="1:37" ht="13.2">
      <c r="A3" s="20"/>
      <c r="B3" s="109"/>
      <c r="C3" s="109"/>
      <c r="D3" s="109"/>
      <c r="E3" s="109"/>
      <c r="F3" s="109"/>
      <c r="G3" s="21"/>
    </row>
    <row r="4" spans="1:37" ht="15.75" customHeight="1">
      <c r="A4" s="20"/>
      <c r="B4" s="477" t="s">
        <v>47</v>
      </c>
      <c r="C4" s="477"/>
      <c r="D4" s="477"/>
      <c r="E4" s="477"/>
      <c r="F4" s="477"/>
      <c r="G4" s="21"/>
    </row>
    <row r="5" spans="1:37" ht="30" customHeight="1">
      <c r="A5" s="121"/>
      <c r="B5" s="123" t="str">
        <f ca="1">OFFSET(L!$C$1,MATCH("Product List"&amp;ADDRESS(ROW(),COLUMN(),4),L!$A:$A,0)-1,SL,,)</f>
        <v>Responder Product Number (*)</v>
      </c>
      <c r="C5" s="123" t="str">
        <f ca="1">OFFSET(L!$C$1,MATCH("Product List"&amp;ADDRESS(ROW(),COLUMN(),4),L!$A:$A,0)-1,SL,,)</f>
        <v>Responder Product Name</v>
      </c>
      <c r="D5" s="123" t="str">
        <f ca="1">OFFSET(L!$C$1,MATCH("Product List"&amp;ADDRESS(ROW(),COLUMN(),4),L!$A:$A,0)-1,SL,,)</f>
        <v>Requester Product Number</v>
      </c>
      <c r="E5" s="123" t="str">
        <f ca="1">OFFSET(L!$C$1,MATCH("Product List"&amp;ADDRESS(ROW(),COLUMN(),4),L!$A:$A,0)-1,SL,,)</f>
        <v>Requester Product Name</v>
      </c>
      <c r="F5" s="64" t="str">
        <f ca="1">OFFSET(L!$C$1,MATCH("Product List"&amp;ADDRESS(ROW(),COLUMN(),4),L!$A:$A,0)-1,SL,,)</f>
        <v>Comments</v>
      </c>
      <c r="G5" s="21"/>
    </row>
    <row r="6" spans="1:37" s="24" customFormat="1" ht="15">
      <c r="A6" s="118"/>
      <c r="B6" s="110"/>
      <c r="C6" s="89"/>
      <c r="D6" s="89"/>
      <c r="E6" s="89"/>
      <c r="F6" s="89"/>
      <c r="G6" s="23"/>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row>
    <row r="7" spans="1:37" s="24" customFormat="1" ht="15">
      <c r="A7" s="119"/>
      <c r="B7" s="110"/>
      <c r="C7" s="89"/>
      <c r="D7" s="89"/>
      <c r="E7" s="89"/>
      <c r="F7" s="89"/>
      <c r="G7" s="23"/>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row>
    <row r="8" spans="1:37" s="24" customFormat="1" ht="15">
      <c r="A8" s="119"/>
      <c r="B8" s="110"/>
      <c r="C8" s="89"/>
      <c r="D8" s="89"/>
      <c r="E8" s="89"/>
      <c r="F8" s="89"/>
      <c r="G8" s="23"/>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row>
    <row r="9" spans="1:37" s="24" customFormat="1" ht="15">
      <c r="A9" s="119"/>
      <c r="B9" s="110"/>
      <c r="C9" s="89"/>
      <c r="D9" s="89"/>
      <c r="E9" s="89"/>
      <c r="F9" s="89"/>
      <c r="G9" s="23"/>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row>
    <row r="10" spans="1:37" s="24" customFormat="1" ht="15">
      <c r="A10" s="119"/>
      <c r="B10" s="110"/>
      <c r="C10" s="89"/>
      <c r="D10" s="89"/>
      <c r="E10" s="89"/>
      <c r="F10" s="89"/>
      <c r="G10" s="23"/>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row>
    <row r="11" spans="1:37" s="24" customFormat="1" ht="15">
      <c r="A11" s="119"/>
      <c r="B11" s="110"/>
      <c r="C11" s="89"/>
      <c r="D11" s="89"/>
      <c r="E11" s="89"/>
      <c r="F11" s="89"/>
      <c r="G11" s="23"/>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row>
    <row r="12" spans="1:37" s="24" customFormat="1" ht="15">
      <c r="A12" s="119"/>
      <c r="B12" s="110"/>
      <c r="C12" s="89"/>
      <c r="D12" s="89"/>
      <c r="E12" s="89"/>
      <c r="F12" s="89"/>
      <c r="G12" s="23"/>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row>
    <row r="13" spans="1:37" s="24" customFormat="1" ht="15">
      <c r="A13" s="119"/>
      <c r="B13" s="110"/>
      <c r="C13" s="89"/>
      <c r="D13" s="89"/>
      <c r="E13" s="89"/>
      <c r="F13" s="89"/>
      <c r="G13" s="23"/>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row>
    <row r="14" spans="1:37" s="24" customFormat="1" ht="15">
      <c r="A14" s="119"/>
      <c r="B14" s="110"/>
      <c r="C14" s="89"/>
      <c r="D14" s="89"/>
      <c r="E14" s="89"/>
      <c r="F14" s="89"/>
      <c r="G14" s="23"/>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row>
    <row r="15" spans="1:37" s="24" customFormat="1" ht="15">
      <c r="A15" s="119"/>
      <c r="B15" s="110"/>
      <c r="C15" s="89"/>
      <c r="D15" s="89"/>
      <c r="E15" s="89"/>
      <c r="F15" s="89"/>
      <c r="G15" s="23"/>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row>
    <row r="16" spans="1:37" s="24" customFormat="1" ht="15">
      <c r="A16" s="119"/>
      <c r="B16" s="110"/>
      <c r="C16" s="89"/>
      <c r="D16" s="89"/>
      <c r="E16" s="89"/>
      <c r="F16" s="89"/>
      <c r="G16" s="23"/>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row>
    <row r="17" spans="1:37" s="24" customFormat="1" ht="15">
      <c r="A17" s="119"/>
      <c r="B17" s="110"/>
      <c r="C17" s="89"/>
      <c r="D17" s="89"/>
      <c r="E17" s="89"/>
      <c r="F17" s="89"/>
      <c r="G17" s="23"/>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row>
    <row r="18" spans="1:37" s="24" customFormat="1" ht="15">
      <c r="A18" s="119"/>
      <c r="B18" s="110"/>
      <c r="C18" s="89"/>
      <c r="D18" s="89"/>
      <c r="E18" s="89"/>
      <c r="F18" s="89"/>
      <c r="G18" s="23"/>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row>
    <row r="19" spans="1:37" s="24" customFormat="1" ht="15">
      <c r="A19" s="119"/>
      <c r="B19" s="110"/>
      <c r="C19" s="89"/>
      <c r="D19" s="89"/>
      <c r="E19" s="89"/>
      <c r="F19" s="89"/>
      <c r="G19" s="23"/>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row>
    <row r="20" spans="1:37" s="24" customFormat="1" ht="15">
      <c r="A20" s="119"/>
      <c r="B20" s="110"/>
      <c r="C20" s="89"/>
      <c r="D20" s="89"/>
      <c r="E20" s="89"/>
      <c r="F20" s="89"/>
      <c r="G20" s="23"/>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row>
    <row r="21" spans="1:37" s="24" customFormat="1" ht="15">
      <c r="A21" s="119"/>
      <c r="B21" s="110"/>
      <c r="C21" s="89"/>
      <c r="D21" s="89"/>
      <c r="E21" s="89"/>
      <c r="F21" s="89"/>
      <c r="G21" s="23"/>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row>
    <row r="22" spans="1:37" s="24" customFormat="1" ht="15">
      <c r="A22" s="119"/>
      <c r="B22" s="110"/>
      <c r="C22" s="89"/>
      <c r="D22" s="89"/>
      <c r="E22" s="89"/>
      <c r="F22" s="89"/>
      <c r="G22" s="23"/>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row>
    <row r="23" spans="1:37" s="24" customFormat="1" ht="15">
      <c r="A23" s="119"/>
      <c r="B23" s="110"/>
      <c r="C23" s="89"/>
      <c r="D23" s="89"/>
      <c r="E23" s="89"/>
      <c r="F23" s="89"/>
      <c r="G23" s="23"/>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row>
    <row r="24" spans="1:37" s="24" customFormat="1" ht="15">
      <c r="A24" s="119"/>
      <c r="B24" s="110"/>
      <c r="C24" s="89"/>
      <c r="D24" s="89"/>
      <c r="E24" s="89"/>
      <c r="F24" s="89"/>
      <c r="G24" s="23"/>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row>
    <row r="25" spans="1:37" s="24" customFormat="1" ht="15">
      <c r="A25" s="119"/>
      <c r="B25" s="110"/>
      <c r="C25" s="89"/>
      <c r="D25" s="89"/>
      <c r="E25" s="89"/>
      <c r="F25" s="89"/>
      <c r="G25" s="23"/>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row>
    <row r="26" spans="1:37" s="24" customFormat="1" ht="15">
      <c r="A26" s="119"/>
      <c r="B26" s="110"/>
      <c r="C26" s="89"/>
      <c r="D26" s="89"/>
      <c r="E26" s="89"/>
      <c r="F26" s="89"/>
      <c r="G26" s="23"/>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row>
    <row r="27" spans="1:37" s="24" customFormat="1" ht="15">
      <c r="A27" s="119"/>
      <c r="B27" s="110"/>
      <c r="C27" s="89"/>
      <c r="D27" s="89"/>
      <c r="E27" s="89"/>
      <c r="F27" s="89"/>
      <c r="G27" s="23"/>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row>
    <row r="28" spans="1:37" s="24" customFormat="1" ht="15">
      <c r="A28" s="119"/>
      <c r="B28" s="110"/>
      <c r="C28" s="89"/>
      <c r="D28" s="89"/>
      <c r="E28" s="89"/>
      <c r="F28" s="89"/>
      <c r="G28" s="23"/>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row>
    <row r="29" spans="1:37" s="24" customFormat="1" ht="15">
      <c r="A29" s="119"/>
      <c r="B29" s="110"/>
      <c r="C29" s="89"/>
      <c r="D29" s="89"/>
      <c r="E29" s="89"/>
      <c r="F29" s="89"/>
      <c r="G29" s="23"/>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row>
    <row r="30" spans="1:37" s="24" customFormat="1" ht="15">
      <c r="A30" s="119"/>
      <c r="B30" s="110"/>
      <c r="C30" s="89"/>
      <c r="D30" s="89"/>
      <c r="E30" s="89"/>
      <c r="F30" s="89"/>
      <c r="G30" s="23"/>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row>
    <row r="31" spans="1:37" s="24" customFormat="1" ht="15">
      <c r="A31" s="119"/>
      <c r="B31" s="110"/>
      <c r="C31" s="89"/>
      <c r="D31" s="89"/>
      <c r="E31" s="89"/>
      <c r="F31" s="89"/>
      <c r="G31" s="23"/>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row>
    <row r="32" spans="1:37" s="24" customFormat="1" ht="15">
      <c r="A32" s="119"/>
      <c r="B32" s="110"/>
      <c r="C32" s="89"/>
      <c r="D32" s="89"/>
      <c r="E32" s="89"/>
      <c r="F32" s="89"/>
      <c r="G32" s="23"/>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row>
    <row r="33" spans="1:37" s="24" customFormat="1" ht="15">
      <c r="A33" s="119"/>
      <c r="B33" s="110"/>
      <c r="C33" s="89"/>
      <c r="D33" s="89"/>
      <c r="E33" s="89"/>
      <c r="F33" s="89"/>
      <c r="G33" s="23"/>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row>
    <row r="34" spans="1:37" s="24" customFormat="1" ht="15">
      <c r="A34" s="119"/>
      <c r="B34" s="110"/>
      <c r="C34" s="89"/>
      <c r="D34" s="89"/>
      <c r="E34" s="89"/>
      <c r="F34" s="89"/>
      <c r="G34" s="23"/>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row>
    <row r="35" spans="1:37" s="24" customFormat="1" ht="15">
      <c r="A35" s="119"/>
      <c r="B35" s="110"/>
      <c r="C35" s="89"/>
      <c r="D35" s="89"/>
      <c r="E35" s="89"/>
      <c r="F35" s="89"/>
      <c r="G35" s="23"/>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row>
    <row r="36" spans="1:37" s="24" customFormat="1" ht="15">
      <c r="A36" s="119"/>
      <c r="B36" s="110"/>
      <c r="C36" s="89"/>
      <c r="D36" s="89"/>
      <c r="E36" s="89"/>
      <c r="F36" s="89"/>
      <c r="G36" s="23"/>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row>
    <row r="37" spans="1:37" s="24" customFormat="1" ht="15">
      <c r="A37" s="119"/>
      <c r="B37" s="110"/>
      <c r="C37" s="89"/>
      <c r="D37" s="89"/>
      <c r="E37" s="89"/>
      <c r="F37" s="89"/>
      <c r="G37" s="23"/>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row>
    <row r="38" spans="1:37" s="24" customFormat="1" ht="15">
      <c r="A38" s="119"/>
      <c r="B38" s="110"/>
      <c r="C38" s="89"/>
      <c r="D38" s="89"/>
      <c r="E38" s="89"/>
      <c r="F38" s="89"/>
      <c r="G38" s="23"/>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row>
    <row r="39" spans="1:37" s="24" customFormat="1" ht="15">
      <c r="A39" s="119"/>
      <c r="B39" s="110"/>
      <c r="C39" s="89"/>
      <c r="D39" s="89"/>
      <c r="E39" s="89"/>
      <c r="F39" s="89"/>
      <c r="G39" s="23"/>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row>
    <row r="40" spans="1:37" s="24" customFormat="1" ht="15">
      <c r="A40" s="119"/>
      <c r="B40" s="110"/>
      <c r="C40" s="89"/>
      <c r="D40" s="89"/>
      <c r="E40" s="89"/>
      <c r="F40" s="89"/>
      <c r="G40" s="23"/>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row>
    <row r="41" spans="1:37" s="24" customFormat="1" ht="15">
      <c r="A41" s="119"/>
      <c r="B41" s="110"/>
      <c r="C41" s="89"/>
      <c r="D41" s="89"/>
      <c r="E41" s="89"/>
      <c r="F41" s="89"/>
      <c r="G41" s="23"/>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row>
    <row r="42" spans="1:37" s="24" customFormat="1" ht="15">
      <c r="A42" s="119"/>
      <c r="B42" s="110"/>
      <c r="C42" s="89"/>
      <c r="D42" s="89"/>
      <c r="E42" s="89"/>
      <c r="F42" s="89"/>
      <c r="G42" s="23"/>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row>
    <row r="43" spans="1:37" s="24" customFormat="1" ht="15">
      <c r="A43" s="119"/>
      <c r="B43" s="110"/>
      <c r="C43" s="89"/>
      <c r="D43" s="89"/>
      <c r="E43" s="89"/>
      <c r="F43" s="89"/>
      <c r="G43" s="23"/>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row>
    <row r="44" spans="1:37" s="24" customFormat="1" ht="15">
      <c r="A44" s="119"/>
      <c r="B44" s="110"/>
      <c r="C44" s="89"/>
      <c r="D44" s="89"/>
      <c r="E44" s="89"/>
      <c r="F44" s="89"/>
      <c r="G44" s="23"/>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row>
    <row r="45" spans="1:37" s="24" customFormat="1" ht="15">
      <c r="A45" s="119"/>
      <c r="B45" s="110"/>
      <c r="C45" s="89"/>
      <c r="D45" s="89"/>
      <c r="E45" s="89"/>
      <c r="F45" s="89"/>
      <c r="G45" s="23"/>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row>
    <row r="46" spans="1:37" s="24" customFormat="1" ht="15">
      <c r="A46" s="119"/>
      <c r="B46" s="110"/>
      <c r="C46" s="89"/>
      <c r="D46" s="89"/>
      <c r="E46" s="89"/>
      <c r="F46" s="89"/>
      <c r="G46" s="23"/>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row>
    <row r="47" spans="1:37" s="24" customFormat="1" ht="15">
      <c r="A47" s="119"/>
      <c r="B47" s="110"/>
      <c r="C47" s="89"/>
      <c r="D47" s="89"/>
      <c r="E47" s="89"/>
      <c r="F47" s="89"/>
      <c r="G47" s="23"/>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row>
    <row r="48" spans="1:37" s="24" customFormat="1" ht="15">
      <c r="A48" s="119"/>
      <c r="B48" s="110"/>
      <c r="C48" s="89"/>
      <c r="D48" s="89"/>
      <c r="E48" s="89"/>
      <c r="F48" s="89"/>
      <c r="G48" s="23"/>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row>
    <row r="49" spans="1:37" s="24" customFormat="1" ht="15">
      <c r="A49" s="119"/>
      <c r="B49" s="110"/>
      <c r="C49" s="89"/>
      <c r="D49" s="89"/>
      <c r="E49" s="89"/>
      <c r="F49" s="89"/>
      <c r="G49" s="23"/>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row>
    <row r="50" spans="1:37" s="24" customFormat="1" ht="15">
      <c r="A50" s="119"/>
      <c r="B50" s="110"/>
      <c r="C50" s="89"/>
      <c r="D50" s="89"/>
      <c r="E50" s="89"/>
      <c r="F50" s="89"/>
      <c r="G50" s="23"/>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row>
    <row r="51" spans="1:37" s="24" customFormat="1" ht="15">
      <c r="A51" s="119"/>
      <c r="B51" s="110"/>
      <c r="C51" s="89"/>
      <c r="D51" s="89"/>
      <c r="E51" s="89"/>
      <c r="F51" s="89"/>
      <c r="G51" s="23"/>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row>
    <row r="52" spans="1:37" s="24" customFormat="1" ht="15">
      <c r="A52" s="119"/>
      <c r="B52" s="110"/>
      <c r="C52" s="89"/>
      <c r="D52" s="89"/>
      <c r="E52" s="89"/>
      <c r="F52" s="89"/>
      <c r="G52" s="23"/>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row>
    <row r="53" spans="1:37" s="24" customFormat="1" ht="15">
      <c r="A53" s="119"/>
      <c r="B53" s="110"/>
      <c r="C53" s="89"/>
      <c r="D53" s="89"/>
      <c r="E53" s="89"/>
      <c r="F53" s="89"/>
      <c r="G53" s="23"/>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row>
    <row r="54" spans="1:37" s="24" customFormat="1" ht="15">
      <c r="A54" s="119"/>
      <c r="B54" s="110"/>
      <c r="C54" s="89"/>
      <c r="D54" s="89"/>
      <c r="E54" s="89"/>
      <c r="F54" s="89"/>
      <c r="G54" s="23"/>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row>
    <row r="55" spans="1:37" s="24" customFormat="1" ht="15">
      <c r="A55" s="119"/>
      <c r="B55" s="110"/>
      <c r="C55" s="89"/>
      <c r="D55" s="89"/>
      <c r="E55" s="89"/>
      <c r="F55" s="89"/>
      <c r="G55" s="23"/>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row>
    <row r="56" spans="1:37" s="24" customFormat="1" ht="15">
      <c r="A56" s="119"/>
      <c r="B56" s="110"/>
      <c r="C56" s="89"/>
      <c r="D56" s="89"/>
      <c r="E56" s="89"/>
      <c r="F56" s="89"/>
      <c r="G56" s="23"/>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row>
    <row r="57" spans="1:37" s="24" customFormat="1" ht="15">
      <c r="A57" s="119"/>
      <c r="B57" s="110"/>
      <c r="C57" s="89"/>
      <c r="D57" s="89"/>
      <c r="E57" s="89"/>
      <c r="F57" s="89"/>
      <c r="G57" s="23"/>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row>
    <row r="58" spans="1:37" s="24" customFormat="1" ht="15">
      <c r="A58" s="119"/>
      <c r="B58" s="110"/>
      <c r="C58" s="89"/>
      <c r="D58" s="89"/>
      <c r="E58" s="89"/>
      <c r="F58" s="89"/>
      <c r="G58" s="23"/>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row>
    <row r="59" spans="1:37" s="24" customFormat="1" ht="15">
      <c r="A59" s="119"/>
      <c r="B59" s="110"/>
      <c r="C59" s="89"/>
      <c r="D59" s="89"/>
      <c r="E59" s="89"/>
      <c r="F59" s="89"/>
      <c r="G59" s="23"/>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row>
    <row r="60" spans="1:37" s="24" customFormat="1" ht="15">
      <c r="A60" s="119"/>
      <c r="B60" s="110"/>
      <c r="C60" s="89"/>
      <c r="D60" s="89"/>
      <c r="E60" s="89"/>
      <c r="F60" s="89"/>
      <c r="G60" s="23"/>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row>
    <row r="61" spans="1:37" s="24" customFormat="1" ht="15">
      <c r="A61" s="119"/>
      <c r="B61" s="110"/>
      <c r="C61" s="89"/>
      <c r="D61" s="89"/>
      <c r="E61" s="89"/>
      <c r="F61" s="89"/>
      <c r="G61" s="23"/>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row>
    <row r="62" spans="1:37" s="24" customFormat="1" ht="15">
      <c r="A62" s="119"/>
      <c r="B62" s="110"/>
      <c r="C62" s="89"/>
      <c r="D62" s="89"/>
      <c r="E62" s="89"/>
      <c r="F62" s="89"/>
      <c r="G62" s="23"/>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row>
    <row r="63" spans="1:37" s="24" customFormat="1" ht="15">
      <c r="A63" s="119"/>
      <c r="B63" s="110"/>
      <c r="C63" s="89"/>
      <c r="D63" s="89"/>
      <c r="E63" s="89"/>
      <c r="F63" s="89"/>
      <c r="G63" s="23"/>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row>
    <row r="64" spans="1:37" s="24" customFormat="1" ht="15">
      <c r="A64" s="119"/>
      <c r="B64" s="110"/>
      <c r="C64" s="89"/>
      <c r="D64" s="89"/>
      <c r="E64" s="89"/>
      <c r="F64" s="89"/>
      <c r="G64" s="23"/>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row>
    <row r="65" spans="1:37" s="24" customFormat="1" ht="15">
      <c r="A65" s="119"/>
      <c r="B65" s="110"/>
      <c r="C65" s="89"/>
      <c r="D65" s="89"/>
      <c r="E65" s="89"/>
      <c r="F65" s="89"/>
      <c r="G65" s="23"/>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row>
    <row r="66" spans="1:37" s="24" customFormat="1" ht="15">
      <c r="A66" s="119"/>
      <c r="B66" s="110"/>
      <c r="C66" s="89"/>
      <c r="D66" s="89"/>
      <c r="E66" s="89"/>
      <c r="F66" s="89"/>
      <c r="G66" s="23"/>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row>
    <row r="67" spans="1:37" s="24" customFormat="1" ht="15">
      <c r="A67" s="119"/>
      <c r="B67" s="110"/>
      <c r="C67" s="89"/>
      <c r="D67" s="89"/>
      <c r="E67" s="89"/>
      <c r="F67" s="89"/>
      <c r="G67" s="23"/>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row>
    <row r="68" spans="1:37" s="24" customFormat="1" ht="15">
      <c r="A68" s="119"/>
      <c r="B68" s="110"/>
      <c r="C68" s="89"/>
      <c r="D68" s="89"/>
      <c r="E68" s="89"/>
      <c r="F68" s="89"/>
      <c r="G68" s="23"/>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row>
    <row r="69" spans="1:37" s="24" customFormat="1" ht="15">
      <c r="A69" s="119"/>
      <c r="B69" s="110"/>
      <c r="C69" s="89"/>
      <c r="D69" s="89"/>
      <c r="E69" s="89"/>
      <c r="F69" s="89"/>
      <c r="G69" s="23"/>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row>
    <row r="70" spans="1:37" s="24" customFormat="1" ht="15">
      <c r="A70" s="119"/>
      <c r="B70" s="110"/>
      <c r="C70" s="89"/>
      <c r="D70" s="89"/>
      <c r="E70" s="89"/>
      <c r="F70" s="89"/>
      <c r="G70" s="23"/>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row>
    <row r="71" spans="1:37" s="24" customFormat="1" ht="15">
      <c r="A71" s="119"/>
      <c r="B71" s="110"/>
      <c r="C71" s="89"/>
      <c r="D71" s="89"/>
      <c r="E71" s="89"/>
      <c r="F71" s="89"/>
      <c r="G71" s="23"/>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row>
    <row r="72" spans="1:37" s="24" customFormat="1" ht="15">
      <c r="A72" s="119"/>
      <c r="B72" s="110"/>
      <c r="C72" s="89"/>
      <c r="D72" s="89"/>
      <c r="E72" s="89"/>
      <c r="F72" s="89"/>
      <c r="G72" s="23"/>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row>
    <row r="73" spans="1:37" s="24" customFormat="1" ht="15">
      <c r="A73" s="119"/>
      <c r="B73" s="110"/>
      <c r="C73" s="89"/>
      <c r="D73" s="89"/>
      <c r="E73" s="89"/>
      <c r="F73" s="89"/>
      <c r="G73" s="23"/>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row>
    <row r="74" spans="1:37" s="24" customFormat="1" ht="15">
      <c r="A74" s="119"/>
      <c r="B74" s="110"/>
      <c r="C74" s="89"/>
      <c r="D74" s="89"/>
      <c r="E74" s="89"/>
      <c r="F74" s="89"/>
      <c r="G74" s="23"/>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row>
    <row r="75" spans="1:37" s="24" customFormat="1" ht="15">
      <c r="A75" s="119"/>
      <c r="B75" s="110"/>
      <c r="C75" s="89"/>
      <c r="D75" s="89"/>
      <c r="E75" s="89"/>
      <c r="F75" s="89"/>
      <c r="G75" s="23"/>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row>
    <row r="76" spans="1:37" s="24" customFormat="1" ht="15">
      <c r="A76" s="119"/>
      <c r="B76" s="110"/>
      <c r="C76" s="89"/>
      <c r="D76" s="89"/>
      <c r="E76" s="89"/>
      <c r="F76" s="89"/>
      <c r="G76" s="23"/>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row>
    <row r="77" spans="1:37" s="24" customFormat="1" ht="15">
      <c r="A77" s="119"/>
      <c r="B77" s="110"/>
      <c r="C77" s="89"/>
      <c r="D77" s="89"/>
      <c r="E77" s="89"/>
      <c r="F77" s="89"/>
      <c r="G77" s="23"/>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row>
    <row r="78" spans="1:37" s="24" customFormat="1" ht="15">
      <c r="A78" s="119"/>
      <c r="B78" s="110"/>
      <c r="C78" s="89"/>
      <c r="D78" s="89"/>
      <c r="E78" s="89"/>
      <c r="F78" s="89"/>
      <c r="G78" s="23"/>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row>
    <row r="79" spans="1:37" s="24" customFormat="1" ht="15">
      <c r="A79" s="119"/>
      <c r="B79" s="110"/>
      <c r="C79" s="89"/>
      <c r="D79" s="89"/>
      <c r="E79" s="89"/>
      <c r="F79" s="89"/>
      <c r="G79" s="23"/>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row>
    <row r="80" spans="1:37" s="24" customFormat="1" ht="15">
      <c r="A80" s="119"/>
      <c r="B80" s="110"/>
      <c r="C80" s="89"/>
      <c r="D80" s="89"/>
      <c r="E80" s="89"/>
      <c r="F80" s="89"/>
      <c r="G80" s="23"/>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row>
    <row r="81" spans="1:37" s="24" customFormat="1" ht="15">
      <c r="A81" s="119"/>
      <c r="B81" s="110"/>
      <c r="C81" s="89"/>
      <c r="D81" s="89"/>
      <c r="E81" s="89"/>
      <c r="F81" s="89"/>
      <c r="G81" s="23"/>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row>
    <row r="82" spans="1:37" s="24" customFormat="1" ht="15">
      <c r="A82" s="119"/>
      <c r="B82" s="110"/>
      <c r="C82" s="89"/>
      <c r="D82" s="89"/>
      <c r="E82" s="89"/>
      <c r="F82" s="89"/>
      <c r="G82" s="23"/>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row>
    <row r="83" spans="1:37" s="24" customFormat="1" ht="15">
      <c r="A83" s="119"/>
      <c r="B83" s="110"/>
      <c r="C83" s="89"/>
      <c r="D83" s="89"/>
      <c r="E83" s="89"/>
      <c r="F83" s="89"/>
      <c r="G83" s="23"/>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row>
    <row r="84" spans="1:37" s="24" customFormat="1" ht="15">
      <c r="A84" s="119"/>
      <c r="B84" s="110"/>
      <c r="C84" s="89"/>
      <c r="D84" s="89"/>
      <c r="E84" s="89"/>
      <c r="F84" s="89"/>
      <c r="G84" s="23"/>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row>
    <row r="85" spans="1:37" s="24" customFormat="1" ht="15">
      <c r="A85" s="119"/>
      <c r="B85" s="110"/>
      <c r="C85" s="89"/>
      <c r="D85" s="89"/>
      <c r="E85" s="89"/>
      <c r="F85" s="89"/>
      <c r="G85" s="23"/>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row>
    <row r="86" spans="1:37" s="24" customFormat="1" ht="15">
      <c r="A86" s="119"/>
      <c r="B86" s="110"/>
      <c r="C86" s="89"/>
      <c r="D86" s="89"/>
      <c r="E86" s="89"/>
      <c r="F86" s="89"/>
      <c r="G86" s="23"/>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row>
    <row r="87" spans="1:37" s="24" customFormat="1" ht="15">
      <c r="A87" s="119"/>
      <c r="B87" s="110"/>
      <c r="C87" s="89"/>
      <c r="D87" s="89"/>
      <c r="E87" s="89"/>
      <c r="F87" s="89"/>
      <c r="G87" s="23"/>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row>
    <row r="88" spans="1:37" s="24" customFormat="1" ht="15">
      <c r="A88" s="119"/>
      <c r="B88" s="110"/>
      <c r="C88" s="89"/>
      <c r="D88" s="89"/>
      <c r="E88" s="89"/>
      <c r="F88" s="89"/>
      <c r="G88" s="23"/>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row>
    <row r="89" spans="1:37" s="24" customFormat="1" ht="15">
      <c r="A89" s="119"/>
      <c r="B89" s="110"/>
      <c r="C89" s="89"/>
      <c r="D89" s="89"/>
      <c r="E89" s="89"/>
      <c r="F89" s="89"/>
      <c r="G89" s="23"/>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row>
    <row r="90" spans="1:37" s="24" customFormat="1" ht="15">
      <c r="A90" s="119"/>
      <c r="B90" s="110"/>
      <c r="C90" s="89"/>
      <c r="D90" s="89"/>
      <c r="E90" s="89"/>
      <c r="F90" s="89"/>
      <c r="G90" s="23"/>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row>
    <row r="91" spans="1:37" s="24" customFormat="1" ht="15">
      <c r="A91" s="119"/>
      <c r="B91" s="110"/>
      <c r="C91" s="89"/>
      <c r="D91" s="89"/>
      <c r="E91" s="89"/>
      <c r="F91" s="89"/>
      <c r="G91" s="23"/>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row>
    <row r="92" spans="1:37" s="24" customFormat="1" ht="15">
      <c r="A92" s="119"/>
      <c r="B92" s="110"/>
      <c r="C92" s="89"/>
      <c r="D92" s="89"/>
      <c r="E92" s="89"/>
      <c r="F92" s="89"/>
      <c r="G92" s="23"/>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row>
    <row r="93" spans="1:37" s="24" customFormat="1" ht="15">
      <c r="A93" s="119"/>
      <c r="B93" s="110"/>
      <c r="C93" s="89"/>
      <c r="D93" s="89"/>
      <c r="E93" s="89"/>
      <c r="F93" s="89"/>
      <c r="G93" s="23"/>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row>
    <row r="94" spans="1:37" s="24" customFormat="1" ht="15">
      <c r="A94" s="119"/>
      <c r="B94" s="110"/>
      <c r="C94" s="89"/>
      <c r="D94" s="89"/>
      <c r="E94" s="89"/>
      <c r="F94" s="89"/>
      <c r="G94" s="23"/>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row>
    <row r="95" spans="1:37" s="24" customFormat="1" ht="15">
      <c r="A95" s="119"/>
      <c r="B95" s="110"/>
      <c r="C95" s="89"/>
      <c r="D95" s="89"/>
      <c r="E95" s="89"/>
      <c r="F95" s="89"/>
      <c r="G95" s="23"/>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row>
    <row r="96" spans="1:37" s="24" customFormat="1" ht="15">
      <c r="A96" s="119"/>
      <c r="B96" s="110"/>
      <c r="C96" s="89"/>
      <c r="D96" s="89"/>
      <c r="E96" s="89"/>
      <c r="F96" s="89"/>
      <c r="G96" s="23"/>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row>
    <row r="97" spans="1:37" s="24" customFormat="1" ht="15">
      <c r="A97" s="119"/>
      <c r="B97" s="110"/>
      <c r="C97" s="89"/>
      <c r="D97" s="89"/>
      <c r="E97" s="89"/>
      <c r="F97" s="89"/>
      <c r="G97" s="23"/>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row>
    <row r="98" spans="1:37" s="24" customFormat="1" ht="15">
      <c r="A98" s="119"/>
      <c r="B98" s="110"/>
      <c r="C98" s="89"/>
      <c r="D98" s="89"/>
      <c r="E98" s="89"/>
      <c r="F98" s="89"/>
      <c r="G98" s="23"/>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row>
    <row r="99" spans="1:37" s="24" customFormat="1" ht="15">
      <c r="A99" s="119"/>
      <c r="B99" s="110"/>
      <c r="C99" s="89"/>
      <c r="D99" s="89"/>
      <c r="E99" s="89"/>
      <c r="F99" s="89"/>
      <c r="G99" s="23"/>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row>
    <row r="100" spans="1:37" s="24" customFormat="1" ht="15">
      <c r="A100" s="119"/>
      <c r="B100" s="110"/>
      <c r="C100" s="89"/>
      <c r="D100" s="89"/>
      <c r="E100" s="89"/>
      <c r="F100" s="89"/>
      <c r="G100" s="23"/>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row>
    <row r="101" spans="1:37" s="24" customFormat="1" ht="15">
      <c r="A101" s="119"/>
      <c r="B101" s="110"/>
      <c r="C101" s="89"/>
      <c r="D101" s="89"/>
      <c r="E101" s="89"/>
      <c r="F101" s="89"/>
      <c r="G101" s="23"/>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row>
    <row r="102" spans="1:37" s="24" customFormat="1" ht="15">
      <c r="A102" s="119"/>
      <c r="B102" s="110"/>
      <c r="C102" s="89"/>
      <c r="D102" s="89"/>
      <c r="E102" s="89"/>
      <c r="F102" s="89"/>
      <c r="G102" s="23"/>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row>
    <row r="103" spans="1:37" s="24" customFormat="1" ht="15">
      <c r="A103" s="119"/>
      <c r="B103" s="110"/>
      <c r="C103" s="89"/>
      <c r="D103" s="89"/>
      <c r="E103" s="89"/>
      <c r="F103" s="89"/>
      <c r="G103" s="23"/>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row>
    <row r="104" spans="1:37" s="24" customFormat="1" ht="15">
      <c r="A104" s="119"/>
      <c r="B104" s="110"/>
      <c r="C104" s="89"/>
      <c r="D104" s="89"/>
      <c r="E104" s="89"/>
      <c r="F104" s="89"/>
      <c r="G104" s="23"/>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row>
    <row r="105" spans="1:37" s="24" customFormat="1" ht="15">
      <c r="A105" s="119"/>
      <c r="B105" s="110"/>
      <c r="C105" s="89"/>
      <c r="D105" s="89"/>
      <c r="E105" s="89"/>
      <c r="F105" s="89"/>
      <c r="G105" s="23"/>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row>
    <row r="106" spans="1:37" s="24" customFormat="1" ht="15">
      <c r="A106" s="119"/>
      <c r="B106" s="110"/>
      <c r="C106" s="89"/>
      <c r="D106" s="89"/>
      <c r="E106" s="89"/>
      <c r="F106" s="89"/>
      <c r="G106" s="23"/>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row>
    <row r="107" spans="1:37" s="24" customFormat="1" ht="15">
      <c r="A107" s="119"/>
      <c r="B107" s="110"/>
      <c r="C107" s="89"/>
      <c r="D107" s="89"/>
      <c r="E107" s="89"/>
      <c r="F107" s="89"/>
      <c r="G107" s="23"/>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row>
    <row r="108" spans="1:37" s="24" customFormat="1" ht="15">
      <c r="A108" s="119"/>
      <c r="B108" s="110"/>
      <c r="C108" s="89"/>
      <c r="D108" s="89"/>
      <c r="E108" s="89"/>
      <c r="F108" s="89"/>
      <c r="G108" s="23"/>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row>
    <row r="109" spans="1:37" s="24" customFormat="1" ht="15">
      <c r="A109" s="119"/>
      <c r="B109" s="110"/>
      <c r="C109" s="89"/>
      <c r="D109" s="89"/>
      <c r="E109" s="89"/>
      <c r="F109" s="89"/>
      <c r="G109" s="23"/>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row>
    <row r="110" spans="1:37" s="24" customFormat="1" ht="15">
      <c r="A110" s="119"/>
      <c r="B110" s="110"/>
      <c r="C110" s="89"/>
      <c r="D110" s="89"/>
      <c r="E110" s="89"/>
      <c r="F110" s="89"/>
      <c r="G110" s="23"/>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row>
    <row r="111" spans="1:37" s="24" customFormat="1" ht="15">
      <c r="A111" s="119"/>
      <c r="B111" s="110"/>
      <c r="C111" s="89"/>
      <c r="D111" s="89"/>
      <c r="E111" s="89"/>
      <c r="F111" s="89"/>
      <c r="G111" s="23"/>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row>
    <row r="112" spans="1:37" s="24" customFormat="1" ht="15">
      <c r="A112" s="119"/>
      <c r="B112" s="110"/>
      <c r="C112" s="89"/>
      <c r="D112" s="89"/>
      <c r="E112" s="89"/>
      <c r="F112" s="89"/>
      <c r="G112" s="23"/>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row>
    <row r="113" spans="1:37" s="24" customFormat="1" ht="15">
      <c r="A113" s="119"/>
      <c r="B113" s="110"/>
      <c r="C113" s="89"/>
      <c r="D113" s="89"/>
      <c r="E113" s="89"/>
      <c r="F113" s="89"/>
      <c r="G113" s="23"/>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row>
    <row r="114" spans="1:37" s="24" customFormat="1" ht="15">
      <c r="A114" s="119"/>
      <c r="B114" s="110"/>
      <c r="C114" s="89"/>
      <c r="D114" s="89"/>
      <c r="E114" s="89"/>
      <c r="F114" s="89"/>
      <c r="G114" s="23"/>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row>
    <row r="115" spans="1:37" s="24" customFormat="1" ht="15">
      <c r="A115" s="119"/>
      <c r="B115" s="110"/>
      <c r="C115" s="89"/>
      <c r="D115" s="89"/>
      <c r="E115" s="89"/>
      <c r="F115" s="89"/>
      <c r="G115" s="23"/>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row>
    <row r="116" spans="1:37" s="24" customFormat="1" ht="15">
      <c r="A116" s="119"/>
      <c r="B116" s="110"/>
      <c r="C116" s="89"/>
      <c r="D116" s="89"/>
      <c r="E116" s="89"/>
      <c r="F116" s="89"/>
      <c r="G116" s="23"/>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row>
    <row r="117" spans="1:37" s="24" customFormat="1" ht="15">
      <c r="A117" s="119"/>
      <c r="B117" s="110"/>
      <c r="C117" s="89"/>
      <c r="D117" s="89"/>
      <c r="E117" s="89"/>
      <c r="F117" s="89"/>
      <c r="G117" s="23"/>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row>
    <row r="118" spans="1:37" s="24" customFormat="1" ht="15">
      <c r="A118" s="119"/>
      <c r="B118" s="110"/>
      <c r="C118" s="89"/>
      <c r="D118" s="89"/>
      <c r="E118" s="89"/>
      <c r="F118" s="89"/>
      <c r="G118" s="23"/>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row>
    <row r="119" spans="1:37" s="24" customFormat="1" ht="15">
      <c r="A119" s="119"/>
      <c r="B119" s="110"/>
      <c r="C119" s="89"/>
      <c r="D119" s="89"/>
      <c r="E119" s="89"/>
      <c r="F119" s="89"/>
      <c r="G119" s="23"/>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row>
    <row r="120" spans="1:37" s="24" customFormat="1" ht="15">
      <c r="A120" s="119"/>
      <c r="B120" s="110"/>
      <c r="C120" s="89"/>
      <c r="D120" s="89"/>
      <c r="E120" s="89"/>
      <c r="F120" s="89"/>
      <c r="G120" s="23"/>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row>
    <row r="121" spans="1:37" s="24" customFormat="1" ht="15">
      <c r="A121" s="119"/>
      <c r="B121" s="110"/>
      <c r="C121" s="89"/>
      <c r="D121" s="89"/>
      <c r="E121" s="89"/>
      <c r="F121" s="89"/>
      <c r="G121" s="23"/>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row>
    <row r="122" spans="1:37" s="24" customFormat="1" ht="15">
      <c r="A122" s="119"/>
      <c r="B122" s="110"/>
      <c r="C122" s="89"/>
      <c r="D122" s="89"/>
      <c r="E122" s="89"/>
      <c r="F122" s="89"/>
      <c r="G122" s="23"/>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row>
    <row r="123" spans="1:37" s="24" customFormat="1" ht="15">
      <c r="A123" s="119"/>
      <c r="B123" s="110"/>
      <c r="C123" s="89"/>
      <c r="D123" s="89"/>
      <c r="E123" s="89"/>
      <c r="F123" s="89"/>
      <c r="G123" s="23"/>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row>
    <row r="124" spans="1:37" s="24" customFormat="1" ht="15">
      <c r="A124" s="119"/>
      <c r="B124" s="110"/>
      <c r="C124" s="89"/>
      <c r="D124" s="89"/>
      <c r="E124" s="89"/>
      <c r="F124" s="89"/>
      <c r="G124" s="23"/>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row>
    <row r="125" spans="1:37" s="24" customFormat="1" ht="15">
      <c r="A125" s="119"/>
      <c r="B125" s="110"/>
      <c r="C125" s="89"/>
      <c r="D125" s="89"/>
      <c r="E125" s="89"/>
      <c r="F125" s="89"/>
      <c r="G125" s="23"/>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row>
    <row r="126" spans="1:37" s="24" customFormat="1" ht="15">
      <c r="A126" s="119"/>
      <c r="B126" s="110"/>
      <c r="C126" s="89"/>
      <c r="D126" s="89"/>
      <c r="E126" s="89"/>
      <c r="F126" s="89"/>
      <c r="G126" s="23"/>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row>
    <row r="127" spans="1:37" s="24" customFormat="1" ht="15">
      <c r="A127" s="119"/>
      <c r="B127" s="110"/>
      <c r="C127" s="89"/>
      <c r="D127" s="89"/>
      <c r="E127" s="89"/>
      <c r="F127" s="89"/>
      <c r="G127" s="23"/>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row>
    <row r="128" spans="1:37" s="24" customFormat="1" ht="15">
      <c r="A128" s="119"/>
      <c r="B128" s="110"/>
      <c r="C128" s="89"/>
      <c r="D128" s="89"/>
      <c r="E128" s="89"/>
      <c r="F128" s="89"/>
      <c r="G128" s="23"/>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row>
    <row r="129" spans="1:37" s="24" customFormat="1" ht="15">
      <c r="A129" s="119"/>
      <c r="B129" s="110"/>
      <c r="C129" s="89"/>
      <c r="D129" s="89"/>
      <c r="E129" s="89"/>
      <c r="F129" s="89"/>
      <c r="G129" s="23"/>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row>
    <row r="130" spans="1:37" s="24" customFormat="1" ht="15">
      <c r="A130" s="119"/>
      <c r="B130" s="110"/>
      <c r="C130" s="89"/>
      <c r="D130" s="89"/>
      <c r="E130" s="89"/>
      <c r="F130" s="89"/>
      <c r="G130" s="23"/>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row>
    <row r="131" spans="1:37" s="24" customFormat="1" ht="15">
      <c r="A131" s="119"/>
      <c r="B131" s="110"/>
      <c r="C131" s="89"/>
      <c r="D131" s="89"/>
      <c r="E131" s="89"/>
      <c r="F131" s="89"/>
      <c r="G131" s="23"/>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row>
    <row r="132" spans="1:37" s="24" customFormat="1" ht="15">
      <c r="A132" s="119"/>
      <c r="B132" s="110"/>
      <c r="C132" s="89"/>
      <c r="D132" s="89"/>
      <c r="E132" s="89"/>
      <c r="F132" s="89"/>
      <c r="G132" s="23"/>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row>
    <row r="133" spans="1:37" s="24" customFormat="1" ht="15">
      <c r="A133" s="119"/>
      <c r="B133" s="110"/>
      <c r="C133" s="89"/>
      <c r="D133" s="89"/>
      <c r="E133" s="89"/>
      <c r="F133" s="89"/>
      <c r="G133" s="23"/>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row>
    <row r="134" spans="1:37" s="24" customFormat="1" ht="15">
      <c r="A134" s="119"/>
      <c r="B134" s="110"/>
      <c r="C134" s="89"/>
      <c r="D134" s="89"/>
      <c r="E134" s="89"/>
      <c r="F134" s="89"/>
      <c r="G134" s="23"/>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row>
    <row r="135" spans="1:37" s="24" customFormat="1" ht="15">
      <c r="A135" s="119"/>
      <c r="B135" s="110"/>
      <c r="C135" s="89"/>
      <c r="D135" s="89"/>
      <c r="E135" s="89"/>
      <c r="F135" s="89"/>
      <c r="G135" s="23"/>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row>
    <row r="136" spans="1:37" s="24" customFormat="1" ht="15">
      <c r="A136" s="119"/>
      <c r="B136" s="110"/>
      <c r="C136" s="89"/>
      <c r="D136" s="89"/>
      <c r="E136" s="89"/>
      <c r="F136" s="89"/>
      <c r="G136" s="23"/>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row>
    <row r="137" spans="1:37" s="24" customFormat="1" ht="15">
      <c r="A137" s="119"/>
      <c r="B137" s="110"/>
      <c r="C137" s="89"/>
      <c r="D137" s="89"/>
      <c r="E137" s="89"/>
      <c r="F137" s="89"/>
      <c r="G137" s="23"/>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row>
    <row r="138" spans="1:37" s="24" customFormat="1" ht="15">
      <c r="A138" s="119"/>
      <c r="B138" s="110"/>
      <c r="C138" s="89"/>
      <c r="D138" s="89"/>
      <c r="E138" s="89"/>
      <c r="F138" s="89"/>
      <c r="G138" s="23"/>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row>
    <row r="139" spans="1:37" s="24" customFormat="1" ht="15">
      <c r="A139" s="119"/>
      <c r="B139" s="110"/>
      <c r="C139" s="89"/>
      <c r="D139" s="89"/>
      <c r="E139" s="89"/>
      <c r="F139" s="89"/>
      <c r="G139" s="23"/>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row>
    <row r="140" spans="1:37" s="24" customFormat="1" ht="15">
      <c r="A140" s="119"/>
      <c r="B140" s="110"/>
      <c r="C140" s="89"/>
      <c r="D140" s="89"/>
      <c r="E140" s="89"/>
      <c r="F140" s="89"/>
      <c r="G140" s="23"/>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row>
    <row r="141" spans="1:37" s="24" customFormat="1" ht="15">
      <c r="A141" s="119"/>
      <c r="B141" s="110"/>
      <c r="C141" s="89"/>
      <c r="D141" s="89"/>
      <c r="E141" s="89"/>
      <c r="F141" s="89"/>
      <c r="G141" s="23"/>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row>
    <row r="142" spans="1:37" s="24" customFormat="1" ht="15">
      <c r="A142" s="119"/>
      <c r="B142" s="110"/>
      <c r="C142" s="89"/>
      <c r="D142" s="89"/>
      <c r="E142" s="89"/>
      <c r="F142" s="89"/>
      <c r="G142" s="23"/>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row>
    <row r="143" spans="1:37" s="24" customFormat="1" ht="15">
      <c r="A143" s="119"/>
      <c r="B143" s="110"/>
      <c r="C143" s="89"/>
      <c r="D143" s="89"/>
      <c r="E143" s="89"/>
      <c r="F143" s="89"/>
      <c r="G143" s="23"/>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row>
    <row r="144" spans="1:37" s="24" customFormat="1" ht="15">
      <c r="A144" s="119"/>
      <c r="B144" s="110"/>
      <c r="C144" s="89"/>
      <c r="D144" s="89"/>
      <c r="E144" s="89"/>
      <c r="F144" s="89"/>
      <c r="G144" s="23"/>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row>
    <row r="145" spans="1:37" s="24" customFormat="1" ht="15">
      <c r="A145" s="119"/>
      <c r="B145" s="110"/>
      <c r="C145" s="89"/>
      <c r="D145" s="89"/>
      <c r="E145" s="89"/>
      <c r="F145" s="89"/>
      <c r="G145" s="23"/>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row>
    <row r="146" spans="1:37" s="24" customFormat="1" ht="15">
      <c r="A146" s="119"/>
      <c r="B146" s="110"/>
      <c r="C146" s="89"/>
      <c r="D146" s="89"/>
      <c r="E146" s="89"/>
      <c r="F146" s="89"/>
      <c r="G146" s="23"/>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row>
    <row r="147" spans="1:37" s="24" customFormat="1" ht="15">
      <c r="A147" s="119"/>
      <c r="B147" s="110"/>
      <c r="C147" s="89"/>
      <c r="D147" s="89"/>
      <c r="E147" s="89"/>
      <c r="F147" s="89"/>
      <c r="G147" s="23"/>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row>
    <row r="148" spans="1:37" s="24" customFormat="1" ht="15">
      <c r="A148" s="119"/>
      <c r="B148" s="110"/>
      <c r="C148" s="89"/>
      <c r="D148" s="89"/>
      <c r="E148" s="89"/>
      <c r="F148" s="89"/>
      <c r="G148" s="23"/>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row>
    <row r="149" spans="1:37" s="24" customFormat="1" ht="15">
      <c r="A149" s="119"/>
      <c r="B149" s="110"/>
      <c r="C149" s="89"/>
      <c r="D149" s="89"/>
      <c r="E149" s="89"/>
      <c r="F149" s="89"/>
      <c r="G149" s="23"/>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row>
    <row r="150" spans="1:37" s="24" customFormat="1" ht="15">
      <c r="A150" s="119"/>
      <c r="B150" s="110"/>
      <c r="C150" s="89"/>
      <c r="D150" s="89"/>
      <c r="E150" s="89"/>
      <c r="F150" s="89"/>
      <c r="G150" s="23"/>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row>
    <row r="151" spans="1:37" s="24" customFormat="1" ht="15">
      <c r="A151" s="119"/>
      <c r="B151" s="110"/>
      <c r="C151" s="89"/>
      <c r="D151" s="89"/>
      <c r="E151" s="89"/>
      <c r="F151" s="89"/>
      <c r="G151" s="23"/>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row>
    <row r="152" spans="1:37" s="24" customFormat="1" ht="15">
      <c r="A152" s="119"/>
      <c r="B152" s="110"/>
      <c r="C152" s="89"/>
      <c r="D152" s="89"/>
      <c r="E152" s="89"/>
      <c r="F152" s="89"/>
      <c r="G152" s="23"/>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row>
    <row r="153" spans="1:37" s="24" customFormat="1" ht="15">
      <c r="A153" s="119"/>
      <c r="B153" s="110"/>
      <c r="C153" s="89"/>
      <c r="D153" s="89"/>
      <c r="E153" s="89"/>
      <c r="F153" s="89"/>
      <c r="G153" s="23"/>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row>
    <row r="154" spans="1:37" s="24" customFormat="1" ht="15">
      <c r="A154" s="119"/>
      <c r="B154" s="110"/>
      <c r="C154" s="89"/>
      <c r="D154" s="89"/>
      <c r="E154" s="89"/>
      <c r="F154" s="89"/>
      <c r="G154" s="23"/>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row>
    <row r="155" spans="1:37" s="24" customFormat="1" ht="15">
      <c r="A155" s="119"/>
      <c r="B155" s="110"/>
      <c r="C155" s="89"/>
      <c r="D155" s="89"/>
      <c r="E155" s="89"/>
      <c r="F155" s="89"/>
      <c r="G155" s="23"/>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row>
    <row r="156" spans="1:37" s="24" customFormat="1" ht="15">
      <c r="A156" s="119"/>
      <c r="B156" s="110"/>
      <c r="C156" s="89"/>
      <c r="D156" s="89"/>
      <c r="E156" s="89"/>
      <c r="F156" s="89"/>
      <c r="G156" s="23"/>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row>
    <row r="157" spans="1:37" s="24" customFormat="1" ht="15">
      <c r="A157" s="119"/>
      <c r="B157" s="110"/>
      <c r="C157" s="89"/>
      <c r="D157" s="89"/>
      <c r="E157" s="89"/>
      <c r="F157" s="89"/>
      <c r="G157" s="23"/>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row>
    <row r="158" spans="1:37" s="24" customFormat="1" ht="15">
      <c r="A158" s="119"/>
      <c r="B158" s="110"/>
      <c r="C158" s="89"/>
      <c r="D158" s="89"/>
      <c r="E158" s="89"/>
      <c r="F158" s="89"/>
      <c r="G158" s="23"/>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row>
    <row r="159" spans="1:37" s="24" customFormat="1" ht="15">
      <c r="A159" s="119"/>
      <c r="B159" s="110"/>
      <c r="C159" s="89"/>
      <c r="D159" s="89"/>
      <c r="E159" s="89"/>
      <c r="F159" s="89"/>
      <c r="G159" s="23"/>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row>
    <row r="160" spans="1:37" s="24" customFormat="1" ht="15">
      <c r="A160" s="119"/>
      <c r="B160" s="110"/>
      <c r="C160" s="89"/>
      <c r="D160" s="89"/>
      <c r="E160" s="89"/>
      <c r="F160" s="89"/>
      <c r="G160" s="23"/>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row>
    <row r="161" spans="1:37" s="24" customFormat="1" ht="15">
      <c r="A161" s="119"/>
      <c r="B161" s="110"/>
      <c r="C161" s="89"/>
      <c r="D161" s="89"/>
      <c r="E161" s="89"/>
      <c r="F161" s="89"/>
      <c r="G161" s="23"/>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row>
    <row r="162" spans="1:37" s="24" customFormat="1" ht="15">
      <c r="A162" s="119"/>
      <c r="B162" s="110"/>
      <c r="C162" s="89"/>
      <c r="D162" s="89"/>
      <c r="E162" s="89"/>
      <c r="F162" s="89"/>
      <c r="G162" s="23"/>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row>
    <row r="163" spans="1:37" s="24" customFormat="1" ht="15">
      <c r="A163" s="119"/>
      <c r="B163" s="110"/>
      <c r="C163" s="89"/>
      <c r="D163" s="89"/>
      <c r="E163" s="89"/>
      <c r="F163" s="89"/>
      <c r="G163" s="23"/>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row>
    <row r="164" spans="1:37" s="24" customFormat="1" ht="15">
      <c r="A164" s="119"/>
      <c r="B164" s="110"/>
      <c r="C164" s="89"/>
      <c r="D164" s="89"/>
      <c r="E164" s="89"/>
      <c r="F164" s="89"/>
      <c r="G164" s="23"/>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row>
    <row r="165" spans="1:37" s="24" customFormat="1" ht="15">
      <c r="A165" s="119"/>
      <c r="B165" s="110"/>
      <c r="C165" s="89"/>
      <c r="D165" s="89"/>
      <c r="E165" s="89"/>
      <c r="F165" s="89"/>
      <c r="G165" s="23"/>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row>
    <row r="166" spans="1:37" s="24" customFormat="1" ht="15">
      <c r="A166" s="119"/>
      <c r="B166" s="110"/>
      <c r="C166" s="89"/>
      <c r="D166" s="89"/>
      <c r="E166" s="89"/>
      <c r="F166" s="89"/>
      <c r="G166" s="23"/>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row>
    <row r="167" spans="1:37" s="24" customFormat="1" ht="15">
      <c r="A167" s="119"/>
      <c r="B167" s="110"/>
      <c r="C167" s="89"/>
      <c r="D167" s="89"/>
      <c r="E167" s="89"/>
      <c r="F167" s="89"/>
      <c r="G167" s="23"/>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row>
    <row r="168" spans="1:37" s="24" customFormat="1" ht="15">
      <c r="A168" s="119"/>
      <c r="B168" s="110"/>
      <c r="C168" s="89"/>
      <c r="D168" s="89"/>
      <c r="E168" s="89"/>
      <c r="F168" s="89"/>
      <c r="G168" s="23"/>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row>
    <row r="169" spans="1:37" s="24" customFormat="1" ht="15">
      <c r="A169" s="119"/>
      <c r="B169" s="110"/>
      <c r="C169" s="89"/>
      <c r="D169" s="89"/>
      <c r="E169" s="89"/>
      <c r="F169" s="89"/>
      <c r="G169" s="23"/>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row>
    <row r="170" spans="1:37" s="24" customFormat="1" ht="15">
      <c r="A170" s="119"/>
      <c r="B170" s="110"/>
      <c r="C170" s="89"/>
      <c r="D170" s="89"/>
      <c r="E170" s="89"/>
      <c r="F170" s="89"/>
      <c r="G170" s="23"/>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row>
    <row r="171" spans="1:37" s="24" customFormat="1" ht="15">
      <c r="A171" s="119"/>
      <c r="B171" s="110"/>
      <c r="C171" s="89"/>
      <c r="D171" s="89"/>
      <c r="E171" s="89"/>
      <c r="F171" s="89"/>
      <c r="G171" s="23"/>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row>
    <row r="172" spans="1:37" s="24" customFormat="1" ht="15">
      <c r="A172" s="119"/>
      <c r="B172" s="110"/>
      <c r="C172" s="89"/>
      <c r="D172" s="89"/>
      <c r="E172" s="89"/>
      <c r="F172" s="89"/>
      <c r="G172" s="23"/>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row>
    <row r="173" spans="1:37" s="24" customFormat="1" ht="15">
      <c r="A173" s="119"/>
      <c r="B173" s="110"/>
      <c r="C173" s="89"/>
      <c r="D173" s="89"/>
      <c r="E173" s="89"/>
      <c r="F173" s="89"/>
      <c r="G173" s="23"/>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row>
    <row r="174" spans="1:37" s="24" customFormat="1" ht="15">
      <c r="A174" s="119"/>
      <c r="B174" s="110"/>
      <c r="C174" s="89"/>
      <c r="D174" s="89"/>
      <c r="E174" s="89"/>
      <c r="F174" s="89"/>
      <c r="G174" s="23"/>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row>
    <row r="175" spans="1:37" s="24" customFormat="1" ht="15">
      <c r="A175" s="119"/>
      <c r="B175" s="110"/>
      <c r="C175" s="89"/>
      <c r="D175" s="89"/>
      <c r="E175" s="89"/>
      <c r="F175" s="89"/>
      <c r="G175" s="23"/>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row>
    <row r="176" spans="1:37" s="24" customFormat="1" ht="15">
      <c r="A176" s="119"/>
      <c r="B176" s="110"/>
      <c r="C176" s="89"/>
      <c r="D176" s="89"/>
      <c r="E176" s="89"/>
      <c r="F176" s="89"/>
      <c r="G176" s="23"/>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row>
    <row r="177" spans="1:37" s="24" customFormat="1" ht="15">
      <c r="A177" s="119"/>
      <c r="B177" s="110"/>
      <c r="C177" s="89"/>
      <c r="D177" s="89"/>
      <c r="E177" s="89"/>
      <c r="F177" s="89"/>
      <c r="G177" s="23"/>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row>
    <row r="178" spans="1:37" s="24" customFormat="1" ht="15">
      <c r="A178" s="119"/>
      <c r="B178" s="110"/>
      <c r="C178" s="89"/>
      <c r="D178" s="89"/>
      <c r="E178" s="89"/>
      <c r="F178" s="89"/>
      <c r="G178" s="23"/>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row>
    <row r="179" spans="1:37" s="24" customFormat="1" ht="15">
      <c r="A179" s="119"/>
      <c r="B179" s="110"/>
      <c r="C179" s="89"/>
      <c r="D179" s="89"/>
      <c r="E179" s="89"/>
      <c r="F179" s="89"/>
      <c r="G179" s="23"/>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row>
    <row r="180" spans="1:37" s="24" customFormat="1" ht="15">
      <c r="A180" s="119"/>
      <c r="B180" s="110"/>
      <c r="C180" s="89"/>
      <c r="D180" s="89"/>
      <c r="E180" s="89"/>
      <c r="F180" s="89"/>
      <c r="G180" s="23"/>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row>
    <row r="181" spans="1:37" s="24" customFormat="1" ht="15">
      <c r="A181" s="119"/>
      <c r="B181" s="110"/>
      <c r="C181" s="89"/>
      <c r="D181" s="89"/>
      <c r="E181" s="89"/>
      <c r="F181" s="89"/>
      <c r="G181" s="23"/>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row>
    <row r="182" spans="1:37" s="24" customFormat="1" ht="15">
      <c r="A182" s="119"/>
      <c r="B182" s="110"/>
      <c r="C182" s="89"/>
      <c r="D182" s="89"/>
      <c r="E182" s="89"/>
      <c r="F182" s="89"/>
      <c r="G182" s="23"/>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row>
    <row r="183" spans="1:37" s="24" customFormat="1" ht="15">
      <c r="A183" s="119"/>
      <c r="B183" s="110"/>
      <c r="C183" s="89"/>
      <c r="D183" s="89"/>
      <c r="E183" s="89"/>
      <c r="F183" s="89"/>
      <c r="G183" s="23"/>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row>
    <row r="184" spans="1:37" s="24" customFormat="1" ht="15">
      <c r="A184" s="119"/>
      <c r="B184" s="110"/>
      <c r="C184" s="89"/>
      <c r="D184" s="89"/>
      <c r="E184" s="89"/>
      <c r="F184" s="89"/>
      <c r="G184" s="23"/>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row>
    <row r="185" spans="1:37" s="24" customFormat="1" ht="15">
      <c r="A185" s="119"/>
      <c r="B185" s="110"/>
      <c r="C185" s="89"/>
      <c r="D185" s="89"/>
      <c r="E185" s="89"/>
      <c r="F185" s="89"/>
      <c r="G185" s="23"/>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row>
    <row r="186" spans="1:37" s="24" customFormat="1" ht="15">
      <c r="A186" s="119"/>
      <c r="B186" s="110"/>
      <c r="C186" s="89"/>
      <c r="D186" s="89"/>
      <c r="E186" s="89"/>
      <c r="F186" s="89"/>
      <c r="G186" s="23"/>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row>
    <row r="187" spans="1:37" s="24" customFormat="1" ht="15">
      <c r="A187" s="119"/>
      <c r="B187" s="110"/>
      <c r="C187" s="89"/>
      <c r="D187" s="89"/>
      <c r="E187" s="89"/>
      <c r="F187" s="89"/>
      <c r="G187" s="23"/>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row>
    <row r="188" spans="1:37" s="24" customFormat="1" ht="15">
      <c r="A188" s="119"/>
      <c r="B188" s="110"/>
      <c r="C188" s="89"/>
      <c r="D188" s="89"/>
      <c r="E188" s="89"/>
      <c r="F188" s="89"/>
      <c r="G188" s="23"/>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row>
    <row r="189" spans="1:37" s="24" customFormat="1" ht="15">
      <c r="A189" s="119"/>
      <c r="B189" s="110"/>
      <c r="C189" s="89"/>
      <c r="D189" s="89"/>
      <c r="E189" s="89"/>
      <c r="F189" s="89"/>
      <c r="G189" s="23"/>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row>
    <row r="190" spans="1:37" s="24" customFormat="1" ht="15">
      <c r="A190" s="119"/>
      <c r="B190" s="110"/>
      <c r="C190" s="89"/>
      <c r="D190" s="89"/>
      <c r="E190" s="89"/>
      <c r="F190" s="89"/>
      <c r="G190" s="23"/>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row>
    <row r="191" spans="1:37" s="24" customFormat="1" ht="15">
      <c r="A191" s="119"/>
      <c r="B191" s="110"/>
      <c r="C191" s="89"/>
      <c r="D191" s="89"/>
      <c r="E191" s="89"/>
      <c r="F191" s="89"/>
      <c r="G191" s="23"/>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row>
    <row r="192" spans="1:37" s="24" customFormat="1" ht="15">
      <c r="A192" s="119"/>
      <c r="B192" s="110"/>
      <c r="C192" s="89"/>
      <c r="D192" s="89"/>
      <c r="E192" s="89"/>
      <c r="F192" s="89"/>
      <c r="G192" s="23"/>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row>
    <row r="193" spans="1:37" s="24" customFormat="1" ht="15">
      <c r="A193" s="119"/>
      <c r="B193" s="110"/>
      <c r="C193" s="89"/>
      <c r="D193" s="89"/>
      <c r="E193" s="89"/>
      <c r="F193" s="89"/>
      <c r="G193" s="23"/>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row>
    <row r="194" spans="1:37" s="24" customFormat="1" ht="15">
      <c r="A194" s="119"/>
      <c r="B194" s="110"/>
      <c r="C194" s="89"/>
      <c r="D194" s="89"/>
      <c r="E194" s="89"/>
      <c r="F194" s="89"/>
      <c r="G194" s="23"/>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row>
    <row r="195" spans="1:37" s="24" customFormat="1" ht="15">
      <c r="A195" s="119"/>
      <c r="B195" s="110"/>
      <c r="C195" s="89"/>
      <c r="D195" s="89"/>
      <c r="E195" s="89"/>
      <c r="F195" s="89"/>
      <c r="G195" s="23"/>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row>
    <row r="196" spans="1:37" s="24" customFormat="1" ht="15">
      <c r="A196" s="119"/>
      <c r="B196" s="110"/>
      <c r="C196" s="89"/>
      <c r="D196" s="89"/>
      <c r="E196" s="89"/>
      <c r="F196" s="89"/>
      <c r="G196" s="23"/>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row>
    <row r="197" spans="1:37" s="24" customFormat="1" ht="15">
      <c r="A197" s="119"/>
      <c r="B197" s="110"/>
      <c r="C197" s="89"/>
      <c r="D197" s="89"/>
      <c r="E197" s="89"/>
      <c r="F197" s="89"/>
      <c r="G197" s="23"/>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row>
    <row r="198" spans="1:37" s="24" customFormat="1" ht="15">
      <c r="A198" s="119"/>
      <c r="B198" s="110"/>
      <c r="C198" s="89"/>
      <c r="D198" s="89"/>
      <c r="E198" s="89"/>
      <c r="F198" s="89"/>
      <c r="G198" s="23"/>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row>
    <row r="199" spans="1:37" s="24" customFormat="1" ht="15">
      <c r="A199" s="119"/>
      <c r="B199" s="110"/>
      <c r="C199" s="89"/>
      <c r="D199" s="89"/>
      <c r="E199" s="89"/>
      <c r="F199" s="89"/>
      <c r="G199" s="23"/>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row>
    <row r="200" spans="1:37" s="24" customFormat="1" ht="15">
      <c r="A200" s="119"/>
      <c r="B200" s="110"/>
      <c r="C200" s="89"/>
      <c r="D200" s="89"/>
      <c r="E200" s="89"/>
      <c r="F200" s="89"/>
      <c r="G200" s="23"/>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row>
    <row r="201" spans="1:37" s="24" customFormat="1" ht="15">
      <c r="A201" s="119"/>
      <c r="B201" s="110"/>
      <c r="C201" s="89"/>
      <c r="D201" s="89"/>
      <c r="E201" s="89"/>
      <c r="F201" s="89"/>
      <c r="G201" s="23"/>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row>
    <row r="202" spans="1:37" s="24" customFormat="1" ht="15">
      <c r="A202" s="119"/>
      <c r="B202" s="110"/>
      <c r="C202" s="89"/>
      <c r="D202" s="89"/>
      <c r="E202" s="89"/>
      <c r="F202" s="89"/>
      <c r="G202" s="23"/>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row>
    <row r="203" spans="1:37" s="24" customFormat="1" ht="15">
      <c r="A203" s="119"/>
      <c r="B203" s="110"/>
      <c r="C203" s="89"/>
      <c r="D203" s="89"/>
      <c r="E203" s="89"/>
      <c r="F203" s="89"/>
      <c r="G203" s="23"/>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row>
    <row r="204" spans="1:37" s="24" customFormat="1" ht="15">
      <c r="A204" s="119"/>
      <c r="B204" s="110"/>
      <c r="C204" s="89"/>
      <c r="D204" s="89"/>
      <c r="E204" s="89"/>
      <c r="F204" s="89"/>
      <c r="G204" s="23"/>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row>
    <row r="205" spans="1:37" s="24" customFormat="1" ht="15">
      <c r="A205" s="119"/>
      <c r="B205" s="110"/>
      <c r="C205" s="89"/>
      <c r="D205" s="89"/>
      <c r="E205" s="89"/>
      <c r="F205" s="89"/>
      <c r="G205" s="23"/>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row>
    <row r="206" spans="1:37" s="24" customFormat="1" ht="15">
      <c r="A206" s="119"/>
      <c r="B206" s="110"/>
      <c r="C206" s="89"/>
      <c r="D206" s="89"/>
      <c r="E206" s="89"/>
      <c r="F206" s="89"/>
      <c r="G206" s="23"/>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row>
    <row r="207" spans="1:37" s="24" customFormat="1" ht="15">
      <c r="A207" s="119"/>
      <c r="B207" s="110"/>
      <c r="C207" s="89"/>
      <c r="D207" s="89"/>
      <c r="E207" s="89"/>
      <c r="F207" s="89"/>
      <c r="G207" s="23"/>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row>
    <row r="208" spans="1:37" s="24" customFormat="1" ht="15">
      <c r="A208" s="119"/>
      <c r="B208" s="110"/>
      <c r="C208" s="89"/>
      <c r="D208" s="89"/>
      <c r="E208" s="89"/>
      <c r="F208" s="89"/>
      <c r="G208" s="23"/>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row>
    <row r="209" spans="1:37" s="24" customFormat="1" ht="15">
      <c r="A209" s="119"/>
      <c r="B209" s="110"/>
      <c r="C209" s="89"/>
      <c r="D209" s="89"/>
      <c r="E209" s="89"/>
      <c r="F209" s="89"/>
      <c r="G209" s="23"/>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row>
    <row r="210" spans="1:37" s="24" customFormat="1" ht="15">
      <c r="A210" s="119"/>
      <c r="B210" s="110"/>
      <c r="C210" s="89"/>
      <c r="D210" s="89"/>
      <c r="E210" s="89"/>
      <c r="F210" s="89"/>
      <c r="G210" s="23"/>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row>
    <row r="211" spans="1:37" s="24" customFormat="1" ht="15">
      <c r="A211" s="119"/>
      <c r="B211" s="110"/>
      <c r="C211" s="89"/>
      <c r="D211" s="89"/>
      <c r="E211" s="89"/>
      <c r="F211" s="89"/>
      <c r="G211" s="23"/>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row>
    <row r="212" spans="1:37" s="24" customFormat="1" ht="15">
      <c r="A212" s="119"/>
      <c r="B212" s="110"/>
      <c r="C212" s="89"/>
      <c r="D212" s="89"/>
      <c r="E212" s="89"/>
      <c r="F212" s="89"/>
      <c r="G212" s="23"/>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row>
    <row r="213" spans="1:37" s="24" customFormat="1" ht="15">
      <c r="A213" s="119"/>
      <c r="B213" s="110"/>
      <c r="C213" s="89"/>
      <c r="D213" s="89"/>
      <c r="E213" s="89"/>
      <c r="F213" s="89"/>
      <c r="G213" s="23"/>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row>
    <row r="214" spans="1:37" s="24" customFormat="1" ht="15">
      <c r="A214" s="119"/>
      <c r="B214" s="110"/>
      <c r="C214" s="89"/>
      <c r="D214" s="89"/>
      <c r="E214" s="89"/>
      <c r="F214" s="89"/>
      <c r="G214" s="23"/>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row>
    <row r="215" spans="1:37" s="24" customFormat="1" ht="15">
      <c r="A215" s="119"/>
      <c r="B215" s="110"/>
      <c r="C215" s="89"/>
      <c r="D215" s="89"/>
      <c r="E215" s="89"/>
      <c r="F215" s="89"/>
      <c r="G215" s="23"/>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row>
    <row r="216" spans="1:37" s="24" customFormat="1" ht="15">
      <c r="A216" s="119"/>
      <c r="B216" s="110"/>
      <c r="C216" s="89"/>
      <c r="D216" s="89"/>
      <c r="E216" s="89"/>
      <c r="F216" s="89"/>
      <c r="G216" s="23"/>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row>
    <row r="217" spans="1:37" s="24" customFormat="1" ht="15">
      <c r="A217" s="119"/>
      <c r="B217" s="110"/>
      <c r="C217" s="89"/>
      <c r="D217" s="89"/>
      <c r="E217" s="89"/>
      <c r="F217" s="89"/>
      <c r="G217" s="23"/>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5"/>
      <c r="AK217" s="285"/>
    </row>
    <row r="218" spans="1:37" s="24" customFormat="1" ht="15">
      <c r="A218" s="119"/>
      <c r="B218" s="110"/>
      <c r="C218" s="89"/>
      <c r="D218" s="89"/>
      <c r="E218" s="89"/>
      <c r="F218" s="89"/>
      <c r="G218" s="23"/>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row>
    <row r="219" spans="1:37" s="24" customFormat="1" ht="15">
      <c r="A219" s="119"/>
      <c r="B219" s="110"/>
      <c r="C219" s="89"/>
      <c r="D219" s="89"/>
      <c r="E219" s="89"/>
      <c r="F219" s="89"/>
      <c r="G219" s="23"/>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row>
    <row r="220" spans="1:37" s="24" customFormat="1" ht="15">
      <c r="A220" s="119"/>
      <c r="B220" s="110"/>
      <c r="C220" s="89"/>
      <c r="D220" s="89"/>
      <c r="E220" s="89"/>
      <c r="F220" s="89"/>
      <c r="G220" s="23"/>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5"/>
      <c r="AK220" s="285"/>
    </row>
    <row r="221" spans="1:37" s="24" customFormat="1" ht="15">
      <c r="A221" s="119"/>
      <c r="B221" s="110"/>
      <c r="C221" s="89"/>
      <c r="D221" s="89"/>
      <c r="E221" s="89"/>
      <c r="F221" s="89"/>
      <c r="G221" s="23"/>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row>
    <row r="222" spans="1:37" s="24" customFormat="1" ht="15">
      <c r="A222" s="119"/>
      <c r="B222" s="110"/>
      <c r="C222" s="89"/>
      <c r="D222" s="89"/>
      <c r="E222" s="89"/>
      <c r="F222" s="89"/>
      <c r="G222" s="23"/>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c r="AJ222" s="285"/>
      <c r="AK222" s="285"/>
    </row>
    <row r="223" spans="1:37" s="24" customFormat="1" ht="15">
      <c r="A223" s="119"/>
      <c r="B223" s="110"/>
      <c r="C223" s="89"/>
      <c r="D223" s="89"/>
      <c r="E223" s="89"/>
      <c r="F223" s="89"/>
      <c r="G223" s="23"/>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5"/>
      <c r="AK223" s="285"/>
    </row>
    <row r="224" spans="1:37" s="24" customFormat="1" ht="15">
      <c r="A224" s="119"/>
      <c r="B224" s="110"/>
      <c r="C224" s="89"/>
      <c r="D224" s="89"/>
      <c r="E224" s="89"/>
      <c r="F224" s="89"/>
      <c r="G224" s="23"/>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5"/>
      <c r="AK224" s="285"/>
    </row>
    <row r="225" spans="1:37" s="24" customFormat="1" ht="15">
      <c r="A225" s="119"/>
      <c r="B225" s="110"/>
      <c r="C225" s="89"/>
      <c r="D225" s="89"/>
      <c r="E225" s="89"/>
      <c r="F225" s="89"/>
      <c r="G225" s="23"/>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row>
    <row r="226" spans="1:37" s="24" customFormat="1" ht="15">
      <c r="A226" s="119"/>
      <c r="B226" s="110"/>
      <c r="C226" s="89"/>
      <c r="D226" s="89"/>
      <c r="E226" s="89"/>
      <c r="F226" s="89"/>
      <c r="G226" s="23"/>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5"/>
      <c r="AK226" s="285"/>
    </row>
    <row r="227" spans="1:37" s="24" customFormat="1" ht="15">
      <c r="A227" s="119"/>
      <c r="B227" s="110"/>
      <c r="C227" s="89"/>
      <c r="D227" s="89"/>
      <c r="E227" s="89"/>
      <c r="F227" s="89"/>
      <c r="G227" s="23"/>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row>
    <row r="228" spans="1:37" s="24" customFormat="1" ht="15">
      <c r="A228" s="119"/>
      <c r="B228" s="110"/>
      <c r="C228" s="89"/>
      <c r="D228" s="89"/>
      <c r="E228" s="89"/>
      <c r="F228" s="89"/>
      <c r="G228" s="23"/>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285"/>
    </row>
    <row r="229" spans="1:37" s="24" customFormat="1" ht="15">
      <c r="A229" s="119"/>
      <c r="B229" s="110"/>
      <c r="C229" s="89"/>
      <c r="D229" s="89"/>
      <c r="E229" s="89"/>
      <c r="F229" s="89"/>
      <c r="G229" s="23"/>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285"/>
    </row>
    <row r="230" spans="1:37" s="24" customFormat="1" ht="15">
      <c r="A230" s="119"/>
      <c r="B230" s="110"/>
      <c r="C230" s="89"/>
      <c r="D230" s="89"/>
      <c r="E230" s="89"/>
      <c r="F230" s="89"/>
      <c r="G230" s="23"/>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285"/>
    </row>
    <row r="231" spans="1:37" s="24" customFormat="1" ht="15">
      <c r="A231" s="119"/>
      <c r="B231" s="110"/>
      <c r="C231" s="89"/>
      <c r="D231" s="89"/>
      <c r="E231" s="89"/>
      <c r="F231" s="89"/>
      <c r="G231" s="23"/>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row>
    <row r="232" spans="1:37" s="24" customFormat="1" ht="15">
      <c r="A232" s="119"/>
      <c r="B232" s="110"/>
      <c r="C232" s="89"/>
      <c r="D232" s="89"/>
      <c r="E232" s="89"/>
      <c r="F232" s="89"/>
      <c r="G232" s="23"/>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285"/>
    </row>
    <row r="233" spans="1:37" s="24" customFormat="1" ht="15">
      <c r="A233" s="119"/>
      <c r="B233" s="110"/>
      <c r="C233" s="89"/>
      <c r="D233" s="89"/>
      <c r="E233" s="89"/>
      <c r="F233" s="89"/>
      <c r="G233" s="23"/>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285"/>
    </row>
    <row r="234" spans="1:37" s="24" customFormat="1" ht="15">
      <c r="A234" s="119"/>
      <c r="B234" s="110"/>
      <c r="C234" s="89"/>
      <c r="D234" s="89"/>
      <c r="E234" s="89"/>
      <c r="F234" s="89"/>
      <c r="G234" s="23"/>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285"/>
    </row>
    <row r="235" spans="1:37" s="24" customFormat="1" ht="15">
      <c r="A235" s="119"/>
      <c r="B235" s="110"/>
      <c r="C235" s="89"/>
      <c r="D235" s="89"/>
      <c r="E235" s="89"/>
      <c r="F235" s="89"/>
      <c r="G235" s="23"/>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285"/>
    </row>
    <row r="236" spans="1:37" s="24" customFormat="1" ht="15">
      <c r="A236" s="119"/>
      <c r="B236" s="110"/>
      <c r="C236" s="89"/>
      <c r="D236" s="89"/>
      <c r="E236" s="89"/>
      <c r="F236" s="89"/>
      <c r="G236" s="23"/>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285"/>
    </row>
    <row r="237" spans="1:37" s="24" customFormat="1" ht="15">
      <c r="A237" s="119"/>
      <c r="B237" s="110"/>
      <c r="C237" s="89"/>
      <c r="D237" s="89"/>
      <c r="E237" s="89"/>
      <c r="F237" s="89"/>
      <c r="G237" s="23"/>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285"/>
    </row>
    <row r="238" spans="1:37" s="24" customFormat="1" ht="15">
      <c r="A238" s="119"/>
      <c r="B238" s="110"/>
      <c r="C238" s="89"/>
      <c r="D238" s="89"/>
      <c r="E238" s="89"/>
      <c r="F238" s="89"/>
      <c r="G238" s="23"/>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row>
    <row r="239" spans="1:37" s="24" customFormat="1" ht="15">
      <c r="A239" s="119"/>
      <c r="B239" s="110"/>
      <c r="C239" s="89"/>
      <c r="D239" s="89"/>
      <c r="E239" s="89"/>
      <c r="F239" s="89"/>
      <c r="G239" s="23"/>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285"/>
    </row>
    <row r="240" spans="1:37" s="24" customFormat="1" ht="15">
      <c r="A240" s="119"/>
      <c r="B240" s="110"/>
      <c r="C240" s="89"/>
      <c r="D240" s="89"/>
      <c r="E240" s="89"/>
      <c r="F240" s="89"/>
      <c r="G240" s="23"/>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285"/>
    </row>
    <row r="241" spans="1:37" s="24" customFormat="1" ht="15">
      <c r="A241" s="119"/>
      <c r="B241" s="110"/>
      <c r="C241" s="89"/>
      <c r="D241" s="89"/>
      <c r="E241" s="89"/>
      <c r="F241" s="89"/>
      <c r="G241" s="23"/>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285"/>
    </row>
    <row r="242" spans="1:37" s="24" customFormat="1" ht="15">
      <c r="A242" s="119"/>
      <c r="B242" s="110"/>
      <c r="C242" s="89"/>
      <c r="D242" s="89"/>
      <c r="E242" s="89"/>
      <c r="F242" s="89"/>
      <c r="G242" s="23"/>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85"/>
    </row>
    <row r="243" spans="1:37" s="24" customFormat="1" ht="15">
      <c r="A243" s="119"/>
      <c r="B243" s="110"/>
      <c r="C243" s="89"/>
      <c r="D243" s="89"/>
      <c r="E243" s="89"/>
      <c r="F243" s="89"/>
      <c r="G243" s="23"/>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row>
    <row r="244" spans="1:37" s="24" customFormat="1" ht="15">
      <c r="A244" s="119"/>
      <c r="B244" s="110"/>
      <c r="C244" s="89"/>
      <c r="D244" s="89"/>
      <c r="E244" s="89"/>
      <c r="F244" s="89"/>
      <c r="G244" s="23"/>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row>
    <row r="245" spans="1:37" s="24" customFormat="1" ht="15">
      <c r="A245" s="119"/>
      <c r="B245" s="110"/>
      <c r="C245" s="89"/>
      <c r="D245" s="89"/>
      <c r="E245" s="89"/>
      <c r="F245" s="89"/>
      <c r="G245" s="23"/>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285"/>
    </row>
    <row r="246" spans="1:37" s="24" customFormat="1" ht="15">
      <c r="A246" s="119"/>
      <c r="B246" s="110"/>
      <c r="C246" s="89"/>
      <c r="D246" s="89"/>
      <c r="E246" s="89"/>
      <c r="F246" s="89"/>
      <c r="G246" s="23"/>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row>
    <row r="247" spans="1:37" s="24" customFormat="1" ht="15">
      <c r="A247" s="119"/>
      <c r="B247" s="110"/>
      <c r="C247" s="89"/>
      <c r="D247" s="89"/>
      <c r="E247" s="89"/>
      <c r="F247" s="89"/>
      <c r="G247" s="23"/>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row>
    <row r="248" spans="1:37" s="24" customFormat="1" ht="15">
      <c r="A248" s="119"/>
      <c r="B248" s="110"/>
      <c r="C248" s="89"/>
      <c r="D248" s="89"/>
      <c r="E248" s="89"/>
      <c r="F248" s="89"/>
      <c r="G248" s="23"/>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285"/>
    </row>
    <row r="249" spans="1:37" s="24" customFormat="1" ht="15">
      <c r="A249" s="119"/>
      <c r="B249" s="110"/>
      <c r="C249" s="89"/>
      <c r="D249" s="89"/>
      <c r="E249" s="89"/>
      <c r="F249" s="89"/>
      <c r="G249" s="23"/>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285"/>
    </row>
    <row r="250" spans="1:37" s="24" customFormat="1" ht="15">
      <c r="A250" s="119"/>
      <c r="B250" s="110"/>
      <c r="C250" s="89"/>
      <c r="D250" s="89"/>
      <c r="E250" s="89"/>
      <c r="F250" s="89"/>
      <c r="G250" s="23"/>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285"/>
    </row>
    <row r="251" spans="1:37" s="24" customFormat="1" ht="15">
      <c r="A251" s="119"/>
      <c r="B251" s="110"/>
      <c r="C251" s="89"/>
      <c r="D251" s="89"/>
      <c r="E251" s="89"/>
      <c r="F251" s="89"/>
      <c r="G251" s="23"/>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row>
    <row r="252" spans="1:37" s="24" customFormat="1" ht="15">
      <c r="A252" s="119"/>
      <c r="B252" s="110"/>
      <c r="C252" s="89"/>
      <c r="D252" s="89"/>
      <c r="E252" s="89"/>
      <c r="F252" s="89"/>
      <c r="G252" s="23"/>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285"/>
    </row>
    <row r="253" spans="1:37" s="24" customFormat="1" ht="15">
      <c r="A253" s="119"/>
      <c r="B253" s="110"/>
      <c r="C253" s="89"/>
      <c r="D253" s="89"/>
      <c r="E253" s="89"/>
      <c r="F253" s="89"/>
      <c r="G253" s="23"/>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285"/>
    </row>
    <row r="254" spans="1:37" s="24" customFormat="1" ht="15">
      <c r="A254" s="119"/>
      <c r="B254" s="110"/>
      <c r="C254" s="89"/>
      <c r="D254" s="89"/>
      <c r="E254" s="89"/>
      <c r="F254" s="89"/>
      <c r="G254" s="23"/>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285"/>
    </row>
    <row r="255" spans="1:37" s="24" customFormat="1" ht="15">
      <c r="A255" s="119"/>
      <c r="B255" s="110"/>
      <c r="C255" s="89"/>
      <c r="D255" s="89"/>
      <c r="E255" s="89"/>
      <c r="F255" s="89"/>
      <c r="G255" s="23"/>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285"/>
    </row>
    <row r="256" spans="1:37" s="24" customFormat="1" ht="15">
      <c r="A256" s="119"/>
      <c r="B256" s="110"/>
      <c r="C256" s="89"/>
      <c r="D256" s="89"/>
      <c r="E256" s="89"/>
      <c r="F256" s="89"/>
      <c r="G256" s="23"/>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285"/>
    </row>
    <row r="257" spans="1:37" s="24" customFormat="1" ht="15">
      <c r="A257" s="119"/>
      <c r="B257" s="110"/>
      <c r="C257" s="89"/>
      <c r="D257" s="89"/>
      <c r="E257" s="89"/>
      <c r="F257" s="89"/>
      <c r="G257" s="23"/>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285"/>
    </row>
    <row r="258" spans="1:37" s="24" customFormat="1" ht="15">
      <c r="A258" s="119"/>
      <c r="B258" s="110"/>
      <c r="C258" s="89"/>
      <c r="D258" s="89"/>
      <c r="E258" s="89"/>
      <c r="F258" s="89"/>
      <c r="G258" s="23"/>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row>
    <row r="259" spans="1:37" s="24" customFormat="1" ht="15">
      <c r="A259" s="119"/>
      <c r="B259" s="110"/>
      <c r="C259" s="89"/>
      <c r="D259" s="89"/>
      <c r="E259" s="89"/>
      <c r="F259" s="89"/>
      <c r="G259" s="23"/>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row>
    <row r="260" spans="1:37" s="24" customFormat="1" ht="15">
      <c r="A260" s="119"/>
      <c r="B260" s="110"/>
      <c r="C260" s="89"/>
      <c r="D260" s="89"/>
      <c r="E260" s="89"/>
      <c r="F260" s="89"/>
      <c r="G260" s="23"/>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row>
    <row r="261" spans="1:37" s="24" customFormat="1" ht="15">
      <c r="A261" s="119"/>
      <c r="B261" s="110"/>
      <c r="C261" s="89"/>
      <c r="D261" s="89"/>
      <c r="E261" s="89"/>
      <c r="F261" s="89"/>
      <c r="G261" s="23"/>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285"/>
    </row>
    <row r="262" spans="1:37" s="24" customFormat="1" ht="15">
      <c r="A262" s="119"/>
      <c r="B262" s="110"/>
      <c r="C262" s="89"/>
      <c r="D262" s="89"/>
      <c r="E262" s="89"/>
      <c r="F262" s="89"/>
      <c r="G262" s="23"/>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row>
    <row r="263" spans="1:37" s="24" customFormat="1" ht="15">
      <c r="A263" s="119"/>
      <c r="B263" s="110"/>
      <c r="C263" s="89"/>
      <c r="D263" s="89"/>
      <c r="E263" s="89"/>
      <c r="F263" s="89"/>
      <c r="G263" s="23"/>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row>
    <row r="264" spans="1:37" s="24" customFormat="1" ht="15">
      <c r="A264" s="119"/>
      <c r="B264" s="110"/>
      <c r="C264" s="89"/>
      <c r="D264" s="89"/>
      <c r="E264" s="89"/>
      <c r="F264" s="89"/>
      <c r="G264" s="23"/>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row>
    <row r="265" spans="1:37" s="24" customFormat="1" ht="15">
      <c r="A265" s="119"/>
      <c r="B265" s="110"/>
      <c r="C265" s="89"/>
      <c r="D265" s="89"/>
      <c r="E265" s="89"/>
      <c r="F265" s="89"/>
      <c r="G265" s="23"/>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row>
    <row r="266" spans="1:37" s="24" customFormat="1" ht="15">
      <c r="A266" s="119"/>
      <c r="B266" s="110"/>
      <c r="C266" s="89"/>
      <c r="D266" s="89"/>
      <c r="E266" s="89"/>
      <c r="F266" s="89"/>
      <c r="G266" s="23"/>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row>
    <row r="267" spans="1:37" s="24" customFormat="1" ht="15">
      <c r="A267" s="119"/>
      <c r="B267" s="110"/>
      <c r="C267" s="89"/>
      <c r="D267" s="89"/>
      <c r="E267" s="89"/>
      <c r="F267" s="89"/>
      <c r="G267" s="23"/>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row>
    <row r="268" spans="1:37" s="24" customFormat="1" ht="15">
      <c r="A268" s="119"/>
      <c r="B268" s="110"/>
      <c r="C268" s="89"/>
      <c r="D268" s="89"/>
      <c r="E268" s="89"/>
      <c r="F268" s="89"/>
      <c r="G268" s="23"/>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row>
    <row r="269" spans="1:37" s="24" customFormat="1" ht="15">
      <c r="A269" s="119"/>
      <c r="B269" s="110"/>
      <c r="C269" s="89"/>
      <c r="D269" s="89"/>
      <c r="E269" s="89"/>
      <c r="F269" s="89"/>
      <c r="G269" s="23"/>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row>
    <row r="270" spans="1:37" s="24" customFormat="1" ht="15">
      <c r="A270" s="119"/>
      <c r="B270" s="110"/>
      <c r="C270" s="89"/>
      <c r="D270" s="89"/>
      <c r="E270" s="89"/>
      <c r="F270" s="89"/>
      <c r="G270" s="23"/>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row>
    <row r="271" spans="1:37" s="24" customFormat="1" ht="15">
      <c r="A271" s="119"/>
      <c r="B271" s="110"/>
      <c r="C271" s="89"/>
      <c r="D271" s="89"/>
      <c r="E271" s="89"/>
      <c r="F271" s="89"/>
      <c r="G271" s="23"/>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row>
    <row r="272" spans="1:37" s="24" customFormat="1" ht="15">
      <c r="A272" s="119"/>
      <c r="B272" s="110"/>
      <c r="C272" s="89"/>
      <c r="D272" s="89"/>
      <c r="E272" s="89"/>
      <c r="F272" s="89"/>
      <c r="G272" s="23"/>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row>
    <row r="273" spans="1:37" s="24" customFormat="1" ht="15">
      <c r="A273" s="119"/>
      <c r="B273" s="110"/>
      <c r="C273" s="89"/>
      <c r="D273" s="89"/>
      <c r="E273" s="89"/>
      <c r="F273" s="89"/>
      <c r="G273" s="23"/>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row>
    <row r="274" spans="1:37" s="24" customFormat="1" ht="15">
      <c r="A274" s="119"/>
      <c r="B274" s="110"/>
      <c r="C274" s="89"/>
      <c r="D274" s="89"/>
      <c r="E274" s="89"/>
      <c r="F274" s="89"/>
      <c r="G274" s="23"/>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row>
    <row r="275" spans="1:37" s="24" customFormat="1" ht="15">
      <c r="A275" s="119"/>
      <c r="B275" s="110"/>
      <c r="C275" s="89"/>
      <c r="D275" s="89"/>
      <c r="E275" s="89"/>
      <c r="F275" s="89"/>
      <c r="G275" s="23"/>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row>
    <row r="276" spans="1:37" s="24" customFormat="1" ht="15">
      <c r="A276" s="119"/>
      <c r="B276" s="110"/>
      <c r="C276" s="89"/>
      <c r="D276" s="89"/>
      <c r="E276" s="89"/>
      <c r="F276" s="89"/>
      <c r="G276" s="23"/>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row>
    <row r="277" spans="1:37" s="24" customFormat="1" ht="15">
      <c r="A277" s="119"/>
      <c r="B277" s="110"/>
      <c r="C277" s="89"/>
      <c r="D277" s="89"/>
      <c r="E277" s="89"/>
      <c r="F277" s="89"/>
      <c r="G277" s="23"/>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row>
    <row r="278" spans="1:37" s="24" customFormat="1" ht="15">
      <c r="A278" s="119"/>
      <c r="B278" s="110"/>
      <c r="C278" s="89"/>
      <c r="D278" s="89"/>
      <c r="E278" s="89"/>
      <c r="F278" s="89"/>
      <c r="G278" s="23"/>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row>
    <row r="279" spans="1:37" s="24" customFormat="1" ht="15">
      <c r="A279" s="119"/>
      <c r="B279" s="110"/>
      <c r="C279" s="89"/>
      <c r="D279" s="89"/>
      <c r="E279" s="89"/>
      <c r="F279" s="89"/>
      <c r="G279" s="23"/>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row>
    <row r="280" spans="1:37" s="24" customFormat="1" ht="15">
      <c r="A280" s="119"/>
      <c r="B280" s="110"/>
      <c r="C280" s="89"/>
      <c r="D280" s="89"/>
      <c r="E280" s="89"/>
      <c r="F280" s="89"/>
      <c r="G280" s="23"/>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row>
    <row r="281" spans="1:37" s="24" customFormat="1" ht="15">
      <c r="A281" s="119"/>
      <c r="B281" s="110"/>
      <c r="C281" s="89"/>
      <c r="D281" s="89"/>
      <c r="E281" s="89"/>
      <c r="F281" s="89"/>
      <c r="G281" s="23"/>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row>
    <row r="282" spans="1:37" s="24" customFormat="1" ht="15">
      <c r="A282" s="119"/>
      <c r="B282" s="110"/>
      <c r="C282" s="89"/>
      <c r="D282" s="89"/>
      <c r="E282" s="89"/>
      <c r="F282" s="89"/>
      <c r="G282" s="23"/>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row>
    <row r="283" spans="1:37" s="24" customFormat="1" ht="15">
      <c r="A283" s="119"/>
      <c r="B283" s="110"/>
      <c r="C283" s="89"/>
      <c r="D283" s="89"/>
      <c r="E283" s="89"/>
      <c r="F283" s="89"/>
      <c r="G283" s="23"/>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row>
    <row r="284" spans="1:37" s="24" customFormat="1" ht="15">
      <c r="A284" s="119"/>
      <c r="B284" s="110"/>
      <c r="C284" s="89"/>
      <c r="D284" s="89"/>
      <c r="E284" s="89"/>
      <c r="F284" s="89"/>
      <c r="G284" s="23"/>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row>
    <row r="285" spans="1:37" s="24" customFormat="1" ht="15">
      <c r="A285" s="119"/>
      <c r="B285" s="110"/>
      <c r="C285" s="89"/>
      <c r="D285" s="89"/>
      <c r="E285" s="89"/>
      <c r="F285" s="89"/>
      <c r="G285" s="23"/>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row>
    <row r="286" spans="1:37" s="24" customFormat="1" ht="15">
      <c r="A286" s="119"/>
      <c r="B286" s="110"/>
      <c r="C286" s="89"/>
      <c r="D286" s="89"/>
      <c r="E286" s="89"/>
      <c r="F286" s="89"/>
      <c r="G286" s="23"/>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row>
    <row r="287" spans="1:37" s="24" customFormat="1" ht="15">
      <c r="A287" s="119"/>
      <c r="B287" s="110"/>
      <c r="C287" s="89"/>
      <c r="D287" s="89"/>
      <c r="E287" s="89"/>
      <c r="F287" s="89"/>
      <c r="G287" s="23"/>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row>
    <row r="288" spans="1:37" s="24" customFormat="1" ht="15">
      <c r="A288" s="119"/>
      <c r="B288" s="110"/>
      <c r="C288" s="89"/>
      <c r="D288" s="89"/>
      <c r="E288" s="89"/>
      <c r="F288" s="89"/>
      <c r="G288" s="23"/>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row>
    <row r="289" spans="1:37" s="24" customFormat="1" ht="15">
      <c r="A289" s="119"/>
      <c r="B289" s="110"/>
      <c r="C289" s="89"/>
      <c r="D289" s="89"/>
      <c r="E289" s="89"/>
      <c r="F289" s="89"/>
      <c r="G289" s="23"/>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c r="AJ289" s="285"/>
      <c r="AK289" s="285"/>
    </row>
    <row r="290" spans="1:37" s="24" customFormat="1" ht="15">
      <c r="A290" s="119"/>
      <c r="B290" s="110"/>
      <c r="C290" s="89"/>
      <c r="D290" s="89"/>
      <c r="E290" s="89"/>
      <c r="F290" s="89"/>
      <c r="G290" s="23"/>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c r="AJ290" s="285"/>
      <c r="AK290" s="285"/>
    </row>
    <row r="291" spans="1:37" s="24" customFormat="1" ht="15">
      <c r="A291" s="119"/>
      <c r="B291" s="110"/>
      <c r="C291" s="89"/>
      <c r="D291" s="89"/>
      <c r="E291" s="89"/>
      <c r="F291" s="89"/>
      <c r="G291" s="23"/>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5"/>
      <c r="AK291" s="285"/>
    </row>
    <row r="292" spans="1:37" s="24" customFormat="1" ht="15">
      <c r="A292" s="119"/>
      <c r="B292" s="110"/>
      <c r="C292" s="89"/>
      <c r="D292" s="89"/>
      <c r="E292" s="89"/>
      <c r="F292" s="89"/>
      <c r="G292" s="23"/>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5"/>
      <c r="AK292" s="285"/>
    </row>
    <row r="293" spans="1:37" s="24" customFormat="1" ht="15">
      <c r="A293" s="119"/>
      <c r="B293" s="110"/>
      <c r="C293" s="89"/>
      <c r="D293" s="89"/>
      <c r="E293" s="89"/>
      <c r="F293" s="89"/>
      <c r="G293" s="23"/>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row>
    <row r="294" spans="1:37" s="24" customFormat="1" ht="15">
      <c r="A294" s="119"/>
      <c r="B294" s="110"/>
      <c r="C294" s="89"/>
      <c r="D294" s="89"/>
      <c r="E294" s="89"/>
      <c r="F294" s="89"/>
      <c r="G294" s="23"/>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row>
    <row r="295" spans="1:37" s="24" customFormat="1" ht="15">
      <c r="A295" s="119"/>
      <c r="B295" s="110"/>
      <c r="C295" s="89"/>
      <c r="D295" s="89"/>
      <c r="E295" s="89"/>
      <c r="F295" s="89"/>
      <c r="G295" s="23"/>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row>
    <row r="296" spans="1:37" s="24" customFormat="1" ht="15">
      <c r="A296" s="119"/>
      <c r="B296" s="110"/>
      <c r="C296" s="89"/>
      <c r="D296" s="89"/>
      <c r="E296" s="89"/>
      <c r="F296" s="89"/>
      <c r="G296" s="23"/>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row>
    <row r="297" spans="1:37" s="24" customFormat="1" ht="15">
      <c r="A297" s="119"/>
      <c r="B297" s="110"/>
      <c r="C297" s="89"/>
      <c r="D297" s="89"/>
      <c r="E297" s="89"/>
      <c r="F297" s="89"/>
      <c r="G297" s="23"/>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5"/>
      <c r="AK297" s="285"/>
    </row>
    <row r="298" spans="1:37" s="24" customFormat="1" ht="15">
      <c r="A298" s="119"/>
      <c r="B298" s="110"/>
      <c r="C298" s="89"/>
      <c r="D298" s="89"/>
      <c r="E298" s="89"/>
      <c r="F298" s="89"/>
      <c r="G298" s="23"/>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5"/>
      <c r="AK298" s="285"/>
    </row>
    <row r="299" spans="1:37" s="24" customFormat="1" ht="15">
      <c r="A299" s="119"/>
      <c r="B299" s="110"/>
      <c r="C299" s="89"/>
      <c r="D299" s="89"/>
      <c r="E299" s="89"/>
      <c r="F299" s="89"/>
      <c r="G299" s="23"/>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5"/>
      <c r="AK299" s="285"/>
    </row>
    <row r="300" spans="1:37" s="24" customFormat="1" ht="15">
      <c r="A300" s="119"/>
      <c r="B300" s="110"/>
      <c r="C300" s="89"/>
      <c r="D300" s="89"/>
      <c r="E300" s="89"/>
      <c r="F300" s="89"/>
      <c r="G300" s="23"/>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row>
    <row r="301" spans="1:37" s="24" customFormat="1" ht="15">
      <c r="A301" s="119"/>
      <c r="B301" s="110"/>
      <c r="C301" s="89"/>
      <c r="D301" s="89"/>
      <c r="E301" s="89"/>
      <c r="F301" s="89"/>
      <c r="G301" s="23"/>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row>
    <row r="302" spans="1:37" s="24" customFormat="1" ht="15">
      <c r="A302" s="119"/>
      <c r="B302" s="110"/>
      <c r="C302" s="89"/>
      <c r="D302" s="89"/>
      <c r="E302" s="89"/>
      <c r="F302" s="89"/>
      <c r="G302" s="23"/>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5"/>
      <c r="AK302" s="285"/>
    </row>
    <row r="303" spans="1:37" s="24" customFormat="1" ht="15">
      <c r="A303" s="119"/>
      <c r="B303" s="110"/>
      <c r="C303" s="89"/>
      <c r="D303" s="89"/>
      <c r="E303" s="89"/>
      <c r="F303" s="89"/>
      <c r="G303" s="23"/>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5"/>
      <c r="AK303" s="285"/>
    </row>
    <row r="304" spans="1:37" s="24" customFormat="1" ht="15">
      <c r="A304" s="119"/>
      <c r="B304" s="110"/>
      <c r="C304" s="89"/>
      <c r="D304" s="89"/>
      <c r="E304" s="89"/>
      <c r="F304" s="89"/>
      <c r="G304" s="23"/>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5"/>
      <c r="AK304" s="285"/>
    </row>
    <row r="305" spans="1:37" s="24" customFormat="1" ht="15">
      <c r="A305" s="119"/>
      <c r="B305" s="110"/>
      <c r="C305" s="89"/>
      <c r="D305" s="89"/>
      <c r="E305" s="89"/>
      <c r="F305" s="89"/>
      <c r="G305" s="23"/>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row>
    <row r="306" spans="1:37" s="24" customFormat="1" ht="15">
      <c r="A306" s="119"/>
      <c r="B306" s="110"/>
      <c r="C306" s="89"/>
      <c r="D306" s="89"/>
      <c r="E306" s="89"/>
      <c r="F306" s="89"/>
      <c r="G306" s="23"/>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5"/>
      <c r="AK306" s="285"/>
    </row>
    <row r="307" spans="1:37" s="24" customFormat="1" ht="15">
      <c r="A307" s="119"/>
      <c r="B307" s="110"/>
      <c r="C307" s="89"/>
      <c r="D307" s="89"/>
      <c r="E307" s="89"/>
      <c r="F307" s="89"/>
      <c r="G307" s="23"/>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5"/>
      <c r="AK307" s="285"/>
    </row>
    <row r="308" spans="1:37" s="24" customFormat="1" ht="15">
      <c r="A308" s="119"/>
      <c r="B308" s="110"/>
      <c r="C308" s="89"/>
      <c r="D308" s="89"/>
      <c r="E308" s="89"/>
      <c r="F308" s="89"/>
      <c r="G308" s="23"/>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5"/>
      <c r="AK308" s="285"/>
    </row>
    <row r="309" spans="1:37" s="24" customFormat="1" ht="15">
      <c r="A309" s="119"/>
      <c r="B309" s="110"/>
      <c r="C309" s="89"/>
      <c r="D309" s="89"/>
      <c r="E309" s="89"/>
      <c r="F309" s="89"/>
      <c r="G309" s="23"/>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5"/>
      <c r="AK309" s="285"/>
    </row>
    <row r="310" spans="1:37" s="24" customFormat="1" ht="15">
      <c r="A310" s="119"/>
      <c r="B310" s="110"/>
      <c r="C310" s="89"/>
      <c r="D310" s="89"/>
      <c r="E310" s="89"/>
      <c r="F310" s="89"/>
      <c r="G310" s="23"/>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row>
    <row r="311" spans="1:37" s="24" customFormat="1" ht="15">
      <c r="A311" s="119"/>
      <c r="B311" s="110"/>
      <c r="C311" s="89"/>
      <c r="D311" s="89"/>
      <c r="E311" s="89"/>
      <c r="F311" s="89"/>
      <c r="G311" s="23"/>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row>
    <row r="312" spans="1:37" s="24" customFormat="1" ht="15">
      <c r="A312" s="119"/>
      <c r="B312" s="110"/>
      <c r="C312" s="89"/>
      <c r="D312" s="89"/>
      <c r="E312" s="89"/>
      <c r="F312" s="89"/>
      <c r="G312" s="23"/>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c r="AJ312" s="285"/>
      <c r="AK312" s="285"/>
    </row>
    <row r="313" spans="1:37" s="24" customFormat="1" ht="15">
      <c r="A313" s="119"/>
      <c r="B313" s="110"/>
      <c r="C313" s="89"/>
      <c r="D313" s="89"/>
      <c r="E313" s="89"/>
      <c r="F313" s="89"/>
      <c r="G313" s="23"/>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5"/>
      <c r="AK313" s="285"/>
    </row>
    <row r="314" spans="1:37" s="24" customFormat="1" ht="15">
      <c r="A314" s="119"/>
      <c r="B314" s="110"/>
      <c r="C314" s="89"/>
      <c r="D314" s="89"/>
      <c r="E314" s="89"/>
      <c r="F314" s="89"/>
      <c r="G314" s="23"/>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5"/>
      <c r="AK314" s="285"/>
    </row>
    <row r="315" spans="1:37" s="24" customFormat="1" ht="15">
      <c r="A315" s="119"/>
      <c r="B315" s="110"/>
      <c r="C315" s="89"/>
      <c r="D315" s="89"/>
      <c r="E315" s="89"/>
      <c r="F315" s="89"/>
      <c r="G315" s="23"/>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5"/>
      <c r="AK315" s="285"/>
    </row>
    <row r="316" spans="1:37" s="24" customFormat="1" ht="15">
      <c r="A316" s="119"/>
      <c r="B316" s="110"/>
      <c r="C316" s="89"/>
      <c r="D316" s="89"/>
      <c r="E316" s="89"/>
      <c r="F316" s="89"/>
      <c r="G316" s="23"/>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5"/>
      <c r="AK316" s="285"/>
    </row>
    <row r="317" spans="1:37" s="24" customFormat="1" ht="15">
      <c r="A317" s="119"/>
      <c r="B317" s="110"/>
      <c r="C317" s="89"/>
      <c r="D317" s="89"/>
      <c r="E317" s="89"/>
      <c r="F317" s="89"/>
      <c r="G317" s="23"/>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5"/>
      <c r="AK317" s="285"/>
    </row>
    <row r="318" spans="1:37" s="24" customFormat="1" ht="15">
      <c r="A318" s="119"/>
      <c r="B318" s="110"/>
      <c r="C318" s="89"/>
      <c r="D318" s="89"/>
      <c r="E318" s="89"/>
      <c r="F318" s="89"/>
      <c r="G318" s="23"/>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5"/>
      <c r="AK318" s="285"/>
    </row>
    <row r="319" spans="1:37" s="24" customFormat="1" ht="15">
      <c r="A319" s="119"/>
      <c r="B319" s="110"/>
      <c r="C319" s="89"/>
      <c r="D319" s="89"/>
      <c r="E319" s="89"/>
      <c r="F319" s="89"/>
      <c r="G319" s="23"/>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c r="AJ319" s="285"/>
      <c r="AK319" s="285"/>
    </row>
    <row r="320" spans="1:37" s="24" customFormat="1" ht="15">
      <c r="A320" s="119"/>
      <c r="B320" s="110"/>
      <c r="C320" s="89"/>
      <c r="D320" s="89"/>
      <c r="E320" s="89"/>
      <c r="F320" s="89"/>
      <c r="G320" s="23"/>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c r="AJ320" s="285"/>
      <c r="AK320" s="285"/>
    </row>
    <row r="321" spans="1:37" s="24" customFormat="1" ht="15">
      <c r="A321" s="119"/>
      <c r="B321" s="110"/>
      <c r="C321" s="89"/>
      <c r="D321" s="89"/>
      <c r="E321" s="89"/>
      <c r="F321" s="89"/>
      <c r="G321" s="23"/>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5"/>
      <c r="AK321" s="285"/>
    </row>
    <row r="322" spans="1:37" s="24" customFormat="1" ht="15">
      <c r="A322" s="119"/>
      <c r="B322" s="110"/>
      <c r="C322" s="89"/>
      <c r="D322" s="89"/>
      <c r="E322" s="89"/>
      <c r="F322" s="89"/>
      <c r="G322" s="23"/>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c r="AJ322" s="285"/>
      <c r="AK322" s="285"/>
    </row>
    <row r="323" spans="1:37" s="24" customFormat="1" ht="15">
      <c r="A323" s="119"/>
      <c r="B323" s="110"/>
      <c r="C323" s="89"/>
      <c r="D323" s="89"/>
      <c r="E323" s="89"/>
      <c r="F323" s="89"/>
      <c r="G323" s="23"/>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c r="AJ323" s="285"/>
      <c r="AK323" s="285"/>
    </row>
    <row r="324" spans="1:37" s="24" customFormat="1" ht="15">
      <c r="A324" s="119"/>
      <c r="B324" s="110"/>
      <c r="C324" s="89"/>
      <c r="D324" s="89"/>
      <c r="E324" s="89"/>
      <c r="F324" s="89"/>
      <c r="G324" s="23"/>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c r="AJ324" s="285"/>
      <c r="AK324" s="285"/>
    </row>
    <row r="325" spans="1:37" s="24" customFormat="1" ht="15">
      <c r="A325" s="119"/>
      <c r="B325" s="110"/>
      <c r="C325" s="89"/>
      <c r="D325" s="89"/>
      <c r="E325" s="89"/>
      <c r="F325" s="89"/>
      <c r="G325" s="23"/>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c r="AJ325" s="285"/>
      <c r="AK325" s="285"/>
    </row>
    <row r="326" spans="1:37" s="24" customFormat="1" ht="15">
      <c r="A326" s="119"/>
      <c r="B326" s="110"/>
      <c r="C326" s="89"/>
      <c r="D326" s="89"/>
      <c r="E326" s="89"/>
      <c r="F326" s="89"/>
      <c r="G326" s="23"/>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c r="AJ326" s="285"/>
      <c r="AK326" s="285"/>
    </row>
    <row r="327" spans="1:37" s="24" customFormat="1" ht="15">
      <c r="A327" s="119"/>
      <c r="B327" s="110"/>
      <c r="C327" s="89"/>
      <c r="D327" s="89"/>
      <c r="E327" s="89"/>
      <c r="F327" s="89"/>
      <c r="G327" s="23"/>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c r="AJ327" s="285"/>
      <c r="AK327" s="285"/>
    </row>
    <row r="328" spans="1:37" s="24" customFormat="1" ht="15">
      <c r="A328" s="119"/>
      <c r="B328" s="110"/>
      <c r="C328" s="89"/>
      <c r="D328" s="89"/>
      <c r="E328" s="89"/>
      <c r="F328" s="89"/>
      <c r="G328" s="23"/>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5"/>
      <c r="AK328" s="285"/>
    </row>
    <row r="329" spans="1:37" s="24" customFormat="1" ht="15">
      <c r="A329" s="119"/>
      <c r="B329" s="110"/>
      <c r="C329" s="89"/>
      <c r="D329" s="89"/>
      <c r="E329" s="89"/>
      <c r="F329" s="89"/>
      <c r="G329" s="23"/>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5"/>
      <c r="AK329" s="285"/>
    </row>
    <row r="330" spans="1:37" s="24" customFormat="1" ht="15">
      <c r="A330" s="119"/>
      <c r="B330" s="110"/>
      <c r="C330" s="89"/>
      <c r="D330" s="89"/>
      <c r="E330" s="89"/>
      <c r="F330" s="89"/>
      <c r="G330" s="23"/>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c r="AJ330" s="285"/>
      <c r="AK330" s="285"/>
    </row>
    <row r="331" spans="1:37" s="24" customFormat="1" ht="15">
      <c r="A331" s="119"/>
      <c r="B331" s="110"/>
      <c r="C331" s="89"/>
      <c r="D331" s="89"/>
      <c r="E331" s="89"/>
      <c r="F331" s="89"/>
      <c r="G331" s="23"/>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5"/>
      <c r="AK331" s="285"/>
    </row>
    <row r="332" spans="1:37" s="24" customFormat="1" ht="15">
      <c r="A332" s="119"/>
      <c r="B332" s="110"/>
      <c r="C332" s="89"/>
      <c r="D332" s="89"/>
      <c r="E332" s="89"/>
      <c r="F332" s="89"/>
      <c r="G332" s="23"/>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c r="AJ332" s="285"/>
      <c r="AK332" s="285"/>
    </row>
    <row r="333" spans="1:37" s="24" customFormat="1" ht="15">
      <c r="A333" s="119"/>
      <c r="B333" s="110"/>
      <c r="C333" s="89"/>
      <c r="D333" s="89"/>
      <c r="E333" s="89"/>
      <c r="F333" s="89"/>
      <c r="G333" s="23"/>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c r="AJ333" s="285"/>
      <c r="AK333" s="285"/>
    </row>
    <row r="334" spans="1:37" s="24" customFormat="1" ht="15">
      <c r="A334" s="119"/>
      <c r="B334" s="110"/>
      <c r="C334" s="89"/>
      <c r="D334" s="89"/>
      <c r="E334" s="89"/>
      <c r="F334" s="89"/>
      <c r="G334" s="23"/>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c r="AJ334" s="285"/>
      <c r="AK334" s="285"/>
    </row>
    <row r="335" spans="1:37" s="24" customFormat="1" ht="15">
      <c r="A335" s="119"/>
      <c r="B335" s="110"/>
      <c r="C335" s="89"/>
      <c r="D335" s="89"/>
      <c r="E335" s="89"/>
      <c r="F335" s="89"/>
      <c r="G335" s="23"/>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5"/>
      <c r="AK335" s="285"/>
    </row>
    <row r="336" spans="1:37" s="24" customFormat="1" ht="15">
      <c r="A336" s="119"/>
      <c r="B336" s="110"/>
      <c r="C336" s="89"/>
      <c r="D336" s="89"/>
      <c r="E336" s="89"/>
      <c r="F336" s="89"/>
      <c r="G336" s="23"/>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c r="AJ336" s="285"/>
      <c r="AK336" s="285"/>
    </row>
    <row r="337" spans="1:37" s="24" customFormat="1" ht="15">
      <c r="A337" s="119"/>
      <c r="B337" s="110"/>
      <c r="C337" s="89"/>
      <c r="D337" s="89"/>
      <c r="E337" s="89"/>
      <c r="F337" s="89"/>
      <c r="G337" s="23"/>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5"/>
      <c r="AK337" s="285"/>
    </row>
    <row r="338" spans="1:37" s="24" customFormat="1" ht="15">
      <c r="A338" s="119"/>
      <c r="B338" s="110"/>
      <c r="C338" s="89"/>
      <c r="D338" s="89"/>
      <c r="E338" s="89"/>
      <c r="F338" s="89"/>
      <c r="G338" s="23"/>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5"/>
      <c r="AK338" s="285"/>
    </row>
    <row r="339" spans="1:37" s="24" customFormat="1" ht="15">
      <c r="A339" s="119"/>
      <c r="B339" s="110"/>
      <c r="C339" s="89"/>
      <c r="D339" s="89"/>
      <c r="E339" s="89"/>
      <c r="F339" s="89"/>
      <c r="G339" s="23"/>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c r="AJ339" s="285"/>
      <c r="AK339" s="285"/>
    </row>
    <row r="340" spans="1:37" s="24" customFormat="1" ht="15">
      <c r="A340" s="119"/>
      <c r="B340" s="110"/>
      <c r="C340" s="89"/>
      <c r="D340" s="89"/>
      <c r="E340" s="89"/>
      <c r="F340" s="89"/>
      <c r="G340" s="23"/>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c r="AJ340" s="285"/>
      <c r="AK340" s="285"/>
    </row>
    <row r="341" spans="1:37" s="24" customFormat="1" ht="15">
      <c r="A341" s="119"/>
      <c r="B341" s="110"/>
      <c r="C341" s="89"/>
      <c r="D341" s="89"/>
      <c r="E341" s="89"/>
      <c r="F341" s="89"/>
      <c r="G341" s="23"/>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5"/>
      <c r="AK341" s="285"/>
    </row>
    <row r="342" spans="1:37" s="24" customFormat="1" ht="15">
      <c r="A342" s="119"/>
      <c r="B342" s="110"/>
      <c r="C342" s="89"/>
      <c r="D342" s="89"/>
      <c r="E342" s="89"/>
      <c r="F342" s="89"/>
      <c r="G342" s="23"/>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5"/>
      <c r="AK342" s="285"/>
    </row>
    <row r="343" spans="1:37" s="24" customFormat="1" ht="15">
      <c r="A343" s="119"/>
      <c r="B343" s="110"/>
      <c r="C343" s="89"/>
      <c r="D343" s="89"/>
      <c r="E343" s="89"/>
      <c r="F343" s="89"/>
      <c r="G343" s="23"/>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c r="AJ343" s="285"/>
      <c r="AK343" s="285"/>
    </row>
    <row r="344" spans="1:37" s="24" customFormat="1" ht="15">
      <c r="A344" s="119"/>
      <c r="B344" s="110"/>
      <c r="C344" s="89"/>
      <c r="D344" s="89"/>
      <c r="E344" s="89"/>
      <c r="F344" s="89"/>
      <c r="G344" s="23"/>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5"/>
      <c r="AK344" s="285"/>
    </row>
    <row r="345" spans="1:37" s="24" customFormat="1" ht="15">
      <c r="A345" s="119"/>
      <c r="B345" s="110"/>
      <c r="C345" s="89"/>
      <c r="D345" s="89"/>
      <c r="E345" s="89"/>
      <c r="F345" s="89"/>
      <c r="G345" s="23"/>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85"/>
      <c r="AK345" s="285"/>
    </row>
    <row r="346" spans="1:37" s="24" customFormat="1" ht="15">
      <c r="A346" s="119"/>
      <c r="B346" s="110"/>
      <c r="C346" s="89"/>
      <c r="D346" s="89"/>
      <c r="E346" s="89"/>
      <c r="F346" s="89"/>
      <c r="G346" s="23"/>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5"/>
      <c r="AK346" s="285"/>
    </row>
    <row r="347" spans="1:37" s="24" customFormat="1" ht="15">
      <c r="A347" s="119"/>
      <c r="B347" s="110"/>
      <c r="C347" s="89"/>
      <c r="D347" s="89"/>
      <c r="E347" s="89"/>
      <c r="F347" s="89"/>
      <c r="G347" s="23"/>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5"/>
      <c r="AK347" s="285"/>
    </row>
    <row r="348" spans="1:37" s="24" customFormat="1" ht="15">
      <c r="A348" s="119"/>
      <c r="B348" s="110"/>
      <c r="C348" s="89"/>
      <c r="D348" s="89"/>
      <c r="E348" s="89"/>
      <c r="F348" s="89"/>
      <c r="G348" s="23"/>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5"/>
      <c r="AK348" s="285"/>
    </row>
    <row r="349" spans="1:37" s="24" customFormat="1" ht="15">
      <c r="A349" s="119"/>
      <c r="B349" s="110"/>
      <c r="C349" s="89"/>
      <c r="D349" s="89"/>
      <c r="E349" s="89"/>
      <c r="F349" s="89"/>
      <c r="G349" s="23"/>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c r="AJ349" s="285"/>
      <c r="AK349" s="285"/>
    </row>
    <row r="350" spans="1:37" s="24" customFormat="1" ht="15">
      <c r="A350" s="119"/>
      <c r="B350" s="110"/>
      <c r="C350" s="89"/>
      <c r="D350" s="89"/>
      <c r="E350" s="89"/>
      <c r="F350" s="89"/>
      <c r="G350" s="23"/>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c r="AJ350" s="285"/>
      <c r="AK350" s="285"/>
    </row>
    <row r="351" spans="1:37" s="24" customFormat="1" ht="15">
      <c r="A351" s="119"/>
      <c r="B351" s="110"/>
      <c r="C351" s="89"/>
      <c r="D351" s="89"/>
      <c r="E351" s="89"/>
      <c r="F351" s="89"/>
      <c r="G351" s="23"/>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c r="AJ351" s="285"/>
      <c r="AK351" s="285"/>
    </row>
    <row r="352" spans="1:37" s="24" customFormat="1" ht="15">
      <c r="A352" s="119"/>
      <c r="B352" s="110"/>
      <c r="C352" s="89"/>
      <c r="D352" s="89"/>
      <c r="E352" s="89"/>
      <c r="F352" s="89"/>
      <c r="G352" s="23"/>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c r="AJ352" s="285"/>
      <c r="AK352" s="285"/>
    </row>
    <row r="353" spans="1:37" s="24" customFormat="1" ht="15">
      <c r="A353" s="119"/>
      <c r="B353" s="110"/>
      <c r="C353" s="89"/>
      <c r="D353" s="89"/>
      <c r="E353" s="89"/>
      <c r="F353" s="89"/>
      <c r="G353" s="23"/>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c r="AJ353" s="285"/>
      <c r="AK353" s="285"/>
    </row>
    <row r="354" spans="1:37" s="24" customFormat="1" ht="15">
      <c r="A354" s="119"/>
      <c r="B354" s="110"/>
      <c r="C354" s="89"/>
      <c r="D354" s="89"/>
      <c r="E354" s="89"/>
      <c r="F354" s="89"/>
      <c r="G354" s="23"/>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5"/>
      <c r="AK354" s="285"/>
    </row>
    <row r="355" spans="1:37" s="24" customFormat="1" ht="15">
      <c r="A355" s="119"/>
      <c r="B355" s="110"/>
      <c r="C355" s="89"/>
      <c r="D355" s="89"/>
      <c r="E355" s="89"/>
      <c r="F355" s="89"/>
      <c r="G355" s="23"/>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c r="AJ355" s="285"/>
      <c r="AK355" s="285"/>
    </row>
    <row r="356" spans="1:37" s="24" customFormat="1" ht="15">
      <c r="A356" s="119"/>
      <c r="B356" s="110"/>
      <c r="C356" s="89"/>
      <c r="D356" s="89"/>
      <c r="E356" s="89"/>
      <c r="F356" s="89"/>
      <c r="G356" s="23"/>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c r="AJ356" s="285"/>
      <c r="AK356" s="285"/>
    </row>
    <row r="357" spans="1:37" s="24" customFormat="1" ht="15">
      <c r="A357" s="119"/>
      <c r="B357" s="110"/>
      <c r="C357" s="89"/>
      <c r="D357" s="89"/>
      <c r="E357" s="89"/>
      <c r="F357" s="89"/>
      <c r="G357" s="23"/>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c r="AJ357" s="285"/>
      <c r="AK357" s="285"/>
    </row>
    <row r="358" spans="1:37" s="24" customFormat="1" ht="15">
      <c r="A358" s="119"/>
      <c r="B358" s="110"/>
      <c r="C358" s="89"/>
      <c r="D358" s="89"/>
      <c r="E358" s="89"/>
      <c r="F358" s="89"/>
      <c r="G358" s="23"/>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c r="AJ358" s="285"/>
      <c r="AK358" s="285"/>
    </row>
    <row r="359" spans="1:37" s="24" customFormat="1" ht="15">
      <c r="A359" s="119"/>
      <c r="B359" s="110"/>
      <c r="C359" s="89"/>
      <c r="D359" s="89"/>
      <c r="E359" s="89"/>
      <c r="F359" s="89"/>
      <c r="G359" s="23"/>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c r="AJ359" s="285"/>
      <c r="AK359" s="285"/>
    </row>
    <row r="360" spans="1:37" s="24" customFormat="1" ht="15">
      <c r="A360" s="119"/>
      <c r="B360" s="110"/>
      <c r="C360" s="89"/>
      <c r="D360" s="89"/>
      <c r="E360" s="89"/>
      <c r="F360" s="89"/>
      <c r="G360" s="23"/>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5"/>
      <c r="AK360" s="285"/>
    </row>
    <row r="361" spans="1:37" s="24" customFormat="1" ht="15">
      <c r="A361" s="119"/>
      <c r="B361" s="110"/>
      <c r="C361" s="89"/>
      <c r="D361" s="89"/>
      <c r="E361" s="89"/>
      <c r="F361" s="89"/>
      <c r="G361" s="23"/>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c r="AJ361" s="285"/>
      <c r="AK361" s="285"/>
    </row>
    <row r="362" spans="1:37" s="24" customFormat="1" ht="15">
      <c r="A362" s="119"/>
      <c r="B362" s="110"/>
      <c r="C362" s="89"/>
      <c r="D362" s="89"/>
      <c r="E362" s="89"/>
      <c r="F362" s="89"/>
      <c r="G362" s="23"/>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c r="AJ362" s="285"/>
      <c r="AK362" s="285"/>
    </row>
    <row r="363" spans="1:37" s="24" customFormat="1" ht="15">
      <c r="A363" s="119"/>
      <c r="B363" s="110"/>
      <c r="C363" s="89"/>
      <c r="D363" s="89"/>
      <c r="E363" s="89"/>
      <c r="F363" s="89"/>
      <c r="G363" s="23"/>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5"/>
      <c r="AK363" s="285"/>
    </row>
    <row r="364" spans="1:37" s="24" customFormat="1" ht="15">
      <c r="A364" s="119"/>
      <c r="B364" s="110"/>
      <c r="C364" s="89"/>
      <c r="D364" s="89"/>
      <c r="E364" s="89"/>
      <c r="F364" s="89"/>
      <c r="G364" s="23"/>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c r="AJ364" s="285"/>
      <c r="AK364" s="285"/>
    </row>
    <row r="365" spans="1:37" s="24" customFormat="1" ht="15">
      <c r="A365" s="119"/>
      <c r="B365" s="110"/>
      <c r="C365" s="89"/>
      <c r="D365" s="89"/>
      <c r="E365" s="89"/>
      <c r="F365" s="89"/>
      <c r="G365" s="23"/>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85"/>
      <c r="AK365" s="285"/>
    </row>
    <row r="366" spans="1:37" s="24" customFormat="1" ht="15">
      <c r="A366" s="119"/>
      <c r="B366" s="110"/>
      <c r="C366" s="89"/>
      <c r="D366" s="89"/>
      <c r="E366" s="89"/>
      <c r="F366" s="89"/>
      <c r="G366" s="23"/>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5"/>
      <c r="AK366" s="285"/>
    </row>
    <row r="367" spans="1:37" s="24" customFormat="1" ht="15">
      <c r="A367" s="119"/>
      <c r="B367" s="110"/>
      <c r="C367" s="89"/>
      <c r="D367" s="89"/>
      <c r="E367" s="89"/>
      <c r="F367" s="89"/>
      <c r="G367" s="23"/>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c r="AJ367" s="285"/>
      <c r="AK367" s="285"/>
    </row>
    <row r="368" spans="1:37" s="24" customFormat="1" ht="15">
      <c r="A368" s="119"/>
      <c r="B368" s="110"/>
      <c r="C368" s="89"/>
      <c r="D368" s="89"/>
      <c r="E368" s="89"/>
      <c r="F368" s="89"/>
      <c r="G368" s="23"/>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c r="AJ368" s="285"/>
      <c r="AK368" s="285"/>
    </row>
    <row r="369" spans="1:37" s="24" customFormat="1" ht="15">
      <c r="A369" s="119"/>
      <c r="B369" s="110"/>
      <c r="C369" s="89"/>
      <c r="D369" s="89"/>
      <c r="E369" s="89"/>
      <c r="F369" s="89"/>
      <c r="G369" s="23"/>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c r="AJ369" s="285"/>
      <c r="AK369" s="285"/>
    </row>
    <row r="370" spans="1:37" s="24" customFormat="1" ht="15">
      <c r="A370" s="119"/>
      <c r="B370" s="110"/>
      <c r="C370" s="89"/>
      <c r="D370" s="89"/>
      <c r="E370" s="89"/>
      <c r="F370" s="89"/>
      <c r="G370" s="23"/>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5"/>
      <c r="AK370" s="285"/>
    </row>
    <row r="371" spans="1:37" s="24" customFormat="1" ht="15">
      <c r="A371" s="119"/>
      <c r="B371" s="110"/>
      <c r="C371" s="89"/>
      <c r="D371" s="89"/>
      <c r="E371" s="89"/>
      <c r="F371" s="89"/>
      <c r="G371" s="23"/>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row>
    <row r="372" spans="1:37" s="24" customFormat="1" ht="15">
      <c r="A372" s="119"/>
      <c r="B372" s="110"/>
      <c r="C372" s="89"/>
      <c r="D372" s="89"/>
      <c r="E372" s="89"/>
      <c r="F372" s="89"/>
      <c r="G372" s="23"/>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c r="AJ372" s="285"/>
      <c r="AK372" s="285"/>
    </row>
    <row r="373" spans="1:37" s="24" customFormat="1" ht="15">
      <c r="A373" s="119"/>
      <c r="B373" s="110"/>
      <c r="C373" s="89"/>
      <c r="D373" s="89"/>
      <c r="E373" s="89"/>
      <c r="F373" s="89"/>
      <c r="G373" s="23"/>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c r="AJ373" s="285"/>
      <c r="AK373" s="285"/>
    </row>
    <row r="374" spans="1:37" s="24" customFormat="1" ht="15">
      <c r="A374" s="119"/>
      <c r="B374" s="110"/>
      <c r="C374" s="89"/>
      <c r="D374" s="89"/>
      <c r="E374" s="89"/>
      <c r="F374" s="89"/>
      <c r="G374" s="23"/>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c r="AJ374" s="285"/>
      <c r="AK374" s="285"/>
    </row>
    <row r="375" spans="1:37" s="24" customFormat="1" ht="15">
      <c r="A375" s="119"/>
      <c r="B375" s="110"/>
      <c r="C375" s="89"/>
      <c r="D375" s="89"/>
      <c r="E375" s="89"/>
      <c r="F375" s="89"/>
      <c r="G375" s="23"/>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c r="AJ375" s="285"/>
      <c r="AK375" s="285"/>
    </row>
    <row r="376" spans="1:37" s="24" customFormat="1" ht="15">
      <c r="A376" s="119"/>
      <c r="B376" s="110"/>
      <c r="C376" s="89"/>
      <c r="D376" s="89"/>
      <c r="E376" s="89"/>
      <c r="F376" s="89"/>
      <c r="G376" s="23"/>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5"/>
      <c r="AK376" s="285"/>
    </row>
    <row r="377" spans="1:37" s="24" customFormat="1" ht="15">
      <c r="A377" s="119"/>
      <c r="B377" s="110"/>
      <c r="C377" s="89"/>
      <c r="D377" s="89"/>
      <c r="E377" s="89"/>
      <c r="F377" s="89"/>
      <c r="G377" s="23"/>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5"/>
      <c r="AK377" s="285"/>
    </row>
    <row r="378" spans="1:37" s="24" customFormat="1" ht="15">
      <c r="A378" s="119"/>
      <c r="B378" s="110"/>
      <c r="C378" s="89"/>
      <c r="D378" s="89"/>
      <c r="E378" s="89"/>
      <c r="F378" s="89"/>
      <c r="G378" s="23"/>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c r="AJ378" s="285"/>
      <c r="AK378" s="285"/>
    </row>
    <row r="379" spans="1:37" s="24" customFormat="1" ht="15">
      <c r="A379" s="119"/>
      <c r="B379" s="110"/>
      <c r="C379" s="89"/>
      <c r="D379" s="89"/>
      <c r="E379" s="89"/>
      <c r="F379" s="89"/>
      <c r="G379" s="23"/>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5"/>
      <c r="AK379" s="285"/>
    </row>
    <row r="380" spans="1:37" s="24" customFormat="1" ht="15">
      <c r="A380" s="119"/>
      <c r="B380" s="110"/>
      <c r="C380" s="89"/>
      <c r="D380" s="89"/>
      <c r="E380" s="89"/>
      <c r="F380" s="89"/>
      <c r="G380" s="23"/>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5"/>
      <c r="AK380" s="285"/>
    </row>
    <row r="381" spans="1:37" s="24" customFormat="1" ht="15">
      <c r="A381" s="119"/>
      <c r="B381" s="110"/>
      <c r="C381" s="89"/>
      <c r="D381" s="89"/>
      <c r="E381" s="89"/>
      <c r="F381" s="89"/>
      <c r="G381" s="23"/>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5"/>
      <c r="AK381" s="285"/>
    </row>
    <row r="382" spans="1:37" s="24" customFormat="1" ht="15">
      <c r="A382" s="119"/>
      <c r="B382" s="110"/>
      <c r="C382" s="89"/>
      <c r="D382" s="89"/>
      <c r="E382" s="89"/>
      <c r="F382" s="89"/>
      <c r="G382" s="23"/>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c r="AJ382" s="285"/>
      <c r="AK382" s="285"/>
    </row>
    <row r="383" spans="1:37" s="24" customFormat="1" ht="15">
      <c r="A383" s="119"/>
      <c r="B383" s="110"/>
      <c r="C383" s="89"/>
      <c r="D383" s="89"/>
      <c r="E383" s="89"/>
      <c r="F383" s="89"/>
      <c r="G383" s="23"/>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c r="AJ383" s="285"/>
      <c r="AK383" s="285"/>
    </row>
    <row r="384" spans="1:37" s="24" customFormat="1" ht="15">
      <c r="A384" s="119"/>
      <c r="B384" s="110"/>
      <c r="C384" s="89"/>
      <c r="D384" s="89"/>
      <c r="E384" s="89"/>
      <c r="F384" s="89"/>
      <c r="G384" s="23"/>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5"/>
      <c r="AK384" s="285"/>
    </row>
    <row r="385" spans="1:37" s="24" customFormat="1" ht="15">
      <c r="A385" s="119"/>
      <c r="B385" s="110"/>
      <c r="C385" s="89"/>
      <c r="D385" s="89"/>
      <c r="E385" s="89"/>
      <c r="F385" s="89"/>
      <c r="G385" s="23"/>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85"/>
      <c r="AK385" s="285"/>
    </row>
    <row r="386" spans="1:37" s="24" customFormat="1" ht="15">
      <c r="A386" s="119"/>
      <c r="B386" s="110"/>
      <c r="C386" s="89"/>
      <c r="D386" s="89"/>
      <c r="E386" s="89"/>
      <c r="F386" s="89"/>
      <c r="G386" s="23"/>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c r="AJ386" s="285"/>
      <c r="AK386" s="285"/>
    </row>
    <row r="387" spans="1:37" s="24" customFormat="1" ht="15">
      <c r="A387" s="119"/>
      <c r="B387" s="110"/>
      <c r="C387" s="89"/>
      <c r="D387" s="89"/>
      <c r="E387" s="89"/>
      <c r="F387" s="89"/>
      <c r="G387" s="23"/>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c r="AJ387" s="285"/>
      <c r="AK387" s="285"/>
    </row>
    <row r="388" spans="1:37" s="24" customFormat="1" ht="15">
      <c r="A388" s="119"/>
      <c r="B388" s="110"/>
      <c r="C388" s="89"/>
      <c r="D388" s="89"/>
      <c r="E388" s="89"/>
      <c r="F388" s="89"/>
      <c r="G388" s="23"/>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c r="AJ388" s="285"/>
      <c r="AK388" s="285"/>
    </row>
    <row r="389" spans="1:37" s="24" customFormat="1" ht="15">
      <c r="A389" s="119"/>
      <c r="B389" s="110"/>
      <c r="C389" s="89"/>
      <c r="D389" s="89"/>
      <c r="E389" s="89"/>
      <c r="F389" s="89"/>
      <c r="G389" s="23"/>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5"/>
      <c r="AK389" s="285"/>
    </row>
    <row r="390" spans="1:37" s="24" customFormat="1" ht="15">
      <c r="A390" s="119"/>
      <c r="B390" s="110"/>
      <c r="C390" s="89"/>
      <c r="D390" s="89"/>
      <c r="E390" s="89"/>
      <c r="F390" s="89"/>
      <c r="G390" s="23"/>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c r="AJ390" s="285"/>
      <c r="AK390" s="285"/>
    </row>
    <row r="391" spans="1:37" s="24" customFormat="1" ht="15">
      <c r="A391" s="119"/>
      <c r="B391" s="110"/>
      <c r="C391" s="89"/>
      <c r="D391" s="89"/>
      <c r="E391" s="89"/>
      <c r="F391" s="89"/>
      <c r="G391" s="23"/>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5"/>
      <c r="AK391" s="285"/>
    </row>
    <row r="392" spans="1:37" s="24" customFormat="1" ht="15">
      <c r="A392" s="119"/>
      <c r="B392" s="110"/>
      <c r="C392" s="89"/>
      <c r="D392" s="89"/>
      <c r="E392" s="89"/>
      <c r="F392" s="89"/>
      <c r="G392" s="23"/>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5"/>
      <c r="AK392" s="285"/>
    </row>
    <row r="393" spans="1:37" s="24" customFormat="1" ht="15">
      <c r="A393" s="119"/>
      <c r="B393" s="110"/>
      <c r="C393" s="89"/>
      <c r="D393" s="89"/>
      <c r="E393" s="89"/>
      <c r="F393" s="89"/>
      <c r="G393" s="23"/>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5"/>
      <c r="AK393" s="285"/>
    </row>
    <row r="394" spans="1:37" s="24" customFormat="1" ht="15">
      <c r="A394" s="119"/>
      <c r="B394" s="110"/>
      <c r="C394" s="89"/>
      <c r="D394" s="89"/>
      <c r="E394" s="89"/>
      <c r="F394" s="89"/>
      <c r="G394" s="23"/>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c r="AJ394" s="285"/>
      <c r="AK394" s="285"/>
    </row>
    <row r="395" spans="1:37" s="24" customFormat="1" ht="15">
      <c r="A395" s="119"/>
      <c r="B395" s="110"/>
      <c r="C395" s="89"/>
      <c r="D395" s="89"/>
      <c r="E395" s="89"/>
      <c r="F395" s="89"/>
      <c r="G395" s="23"/>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c r="AJ395" s="285"/>
      <c r="AK395" s="285"/>
    </row>
    <row r="396" spans="1:37" s="24" customFormat="1" ht="15">
      <c r="A396" s="119"/>
      <c r="B396" s="110"/>
      <c r="C396" s="89"/>
      <c r="D396" s="89"/>
      <c r="E396" s="89"/>
      <c r="F396" s="89"/>
      <c r="G396" s="23"/>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5"/>
      <c r="AK396" s="285"/>
    </row>
    <row r="397" spans="1:37" s="24" customFormat="1" ht="15">
      <c r="A397" s="119"/>
      <c r="B397" s="110"/>
      <c r="C397" s="89"/>
      <c r="D397" s="89"/>
      <c r="E397" s="89"/>
      <c r="F397" s="89"/>
      <c r="G397" s="23"/>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c r="AJ397" s="285"/>
      <c r="AK397" s="285"/>
    </row>
    <row r="398" spans="1:37" s="24" customFormat="1" ht="15">
      <c r="A398" s="119"/>
      <c r="B398" s="110"/>
      <c r="C398" s="89"/>
      <c r="D398" s="89"/>
      <c r="E398" s="89"/>
      <c r="F398" s="89"/>
      <c r="G398" s="23"/>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c r="AJ398" s="285"/>
      <c r="AK398" s="285"/>
    </row>
    <row r="399" spans="1:37" s="24" customFormat="1" ht="15">
      <c r="A399" s="119"/>
      <c r="B399" s="110"/>
      <c r="C399" s="89"/>
      <c r="D399" s="89"/>
      <c r="E399" s="89"/>
      <c r="F399" s="89"/>
      <c r="G399" s="23"/>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85"/>
      <c r="AK399" s="285"/>
    </row>
    <row r="400" spans="1:37" s="24" customFormat="1" ht="15">
      <c r="A400" s="119"/>
      <c r="B400" s="110"/>
      <c r="C400" s="89"/>
      <c r="D400" s="89"/>
      <c r="E400" s="89"/>
      <c r="F400" s="89"/>
      <c r="G400" s="23"/>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5"/>
      <c r="AK400" s="285"/>
    </row>
    <row r="401" spans="1:37" s="24" customFormat="1" ht="15">
      <c r="A401" s="119"/>
      <c r="B401" s="110"/>
      <c r="C401" s="89"/>
      <c r="D401" s="89"/>
      <c r="E401" s="89"/>
      <c r="F401" s="89"/>
      <c r="G401" s="23"/>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c r="AJ401" s="285"/>
      <c r="AK401" s="285"/>
    </row>
    <row r="402" spans="1:37" s="24" customFormat="1" ht="15">
      <c r="A402" s="119"/>
      <c r="B402" s="110"/>
      <c r="C402" s="89"/>
      <c r="D402" s="89"/>
      <c r="E402" s="89"/>
      <c r="F402" s="89"/>
      <c r="G402" s="23"/>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5"/>
      <c r="AK402" s="285"/>
    </row>
    <row r="403" spans="1:37" s="24" customFormat="1" ht="15">
      <c r="A403" s="119"/>
      <c r="B403" s="110"/>
      <c r="C403" s="89"/>
      <c r="D403" s="89"/>
      <c r="E403" s="89"/>
      <c r="F403" s="89"/>
      <c r="G403" s="23"/>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5"/>
      <c r="AK403" s="285"/>
    </row>
    <row r="404" spans="1:37" s="24" customFormat="1" ht="15">
      <c r="A404" s="119"/>
      <c r="B404" s="110"/>
      <c r="C404" s="89"/>
      <c r="D404" s="89"/>
      <c r="E404" s="89"/>
      <c r="F404" s="89"/>
      <c r="G404" s="23"/>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c r="AJ404" s="285"/>
      <c r="AK404" s="285"/>
    </row>
    <row r="405" spans="1:37" s="24" customFormat="1" ht="15">
      <c r="A405" s="119"/>
      <c r="B405" s="110"/>
      <c r="C405" s="89"/>
      <c r="D405" s="89"/>
      <c r="E405" s="89"/>
      <c r="F405" s="89"/>
      <c r="G405" s="23"/>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85"/>
      <c r="AK405" s="285"/>
    </row>
    <row r="406" spans="1:37" s="24" customFormat="1" ht="15">
      <c r="A406" s="119"/>
      <c r="B406" s="110"/>
      <c r="C406" s="89"/>
      <c r="D406" s="89"/>
      <c r="E406" s="89"/>
      <c r="F406" s="89"/>
      <c r="G406" s="23"/>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c r="AJ406" s="285"/>
      <c r="AK406" s="285"/>
    </row>
    <row r="407" spans="1:37" s="24" customFormat="1" ht="15">
      <c r="A407" s="119"/>
      <c r="B407" s="110"/>
      <c r="C407" s="89"/>
      <c r="D407" s="89"/>
      <c r="E407" s="89"/>
      <c r="F407" s="89"/>
      <c r="G407" s="23"/>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5"/>
      <c r="AK407" s="285"/>
    </row>
    <row r="408" spans="1:37" s="24" customFormat="1" ht="15">
      <c r="A408" s="119"/>
      <c r="B408" s="110"/>
      <c r="C408" s="89"/>
      <c r="D408" s="89"/>
      <c r="E408" s="89"/>
      <c r="F408" s="89"/>
      <c r="G408" s="23"/>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c r="AJ408" s="285"/>
      <c r="AK408" s="285"/>
    </row>
    <row r="409" spans="1:37" s="24" customFormat="1" ht="15">
      <c r="A409" s="119"/>
      <c r="B409" s="110"/>
      <c r="C409" s="89"/>
      <c r="D409" s="89"/>
      <c r="E409" s="89"/>
      <c r="F409" s="89"/>
      <c r="G409" s="23"/>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c r="AJ409" s="285"/>
      <c r="AK409" s="285"/>
    </row>
    <row r="410" spans="1:37" s="24" customFormat="1" ht="15">
      <c r="A410" s="119"/>
      <c r="B410" s="110"/>
      <c r="C410" s="89"/>
      <c r="D410" s="89"/>
      <c r="E410" s="89"/>
      <c r="F410" s="89"/>
      <c r="G410" s="23"/>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5"/>
      <c r="AK410" s="285"/>
    </row>
    <row r="411" spans="1:37" s="24" customFormat="1" ht="15">
      <c r="A411" s="119"/>
      <c r="B411" s="110"/>
      <c r="C411" s="89"/>
      <c r="D411" s="89"/>
      <c r="E411" s="89"/>
      <c r="F411" s="89"/>
      <c r="G411" s="23"/>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c r="AJ411" s="285"/>
      <c r="AK411" s="285"/>
    </row>
    <row r="412" spans="1:37" s="24" customFormat="1" ht="15">
      <c r="A412" s="119"/>
      <c r="B412" s="110"/>
      <c r="C412" s="89"/>
      <c r="D412" s="89"/>
      <c r="E412" s="89"/>
      <c r="F412" s="89"/>
      <c r="G412" s="23"/>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c r="AJ412" s="285"/>
      <c r="AK412" s="285"/>
    </row>
    <row r="413" spans="1:37" s="24" customFormat="1" ht="15">
      <c r="A413" s="119"/>
      <c r="B413" s="110"/>
      <c r="C413" s="89"/>
      <c r="D413" s="89"/>
      <c r="E413" s="89"/>
      <c r="F413" s="89"/>
      <c r="G413" s="23"/>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5"/>
      <c r="AK413" s="285"/>
    </row>
    <row r="414" spans="1:37" s="24" customFormat="1" ht="15">
      <c r="A414" s="119"/>
      <c r="B414" s="110"/>
      <c r="C414" s="89"/>
      <c r="D414" s="89"/>
      <c r="E414" s="89"/>
      <c r="F414" s="89"/>
      <c r="G414" s="23"/>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5"/>
      <c r="AK414" s="285"/>
    </row>
    <row r="415" spans="1:37" s="24" customFormat="1" ht="15">
      <c r="A415" s="119"/>
      <c r="B415" s="110"/>
      <c r="C415" s="89"/>
      <c r="D415" s="89"/>
      <c r="E415" s="89"/>
      <c r="F415" s="89"/>
      <c r="G415" s="23"/>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c r="AJ415" s="285"/>
      <c r="AK415" s="285"/>
    </row>
    <row r="416" spans="1:37" s="24" customFormat="1" ht="15">
      <c r="A416" s="119"/>
      <c r="B416" s="110"/>
      <c r="C416" s="89"/>
      <c r="D416" s="89"/>
      <c r="E416" s="89"/>
      <c r="F416" s="89"/>
      <c r="G416" s="23"/>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c r="AJ416" s="285"/>
      <c r="AK416" s="285"/>
    </row>
    <row r="417" spans="1:37" s="24" customFormat="1" ht="15">
      <c r="A417" s="119"/>
      <c r="B417" s="110"/>
      <c r="C417" s="89"/>
      <c r="D417" s="89"/>
      <c r="E417" s="89"/>
      <c r="F417" s="89"/>
      <c r="G417" s="23"/>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5"/>
      <c r="AK417" s="285"/>
    </row>
    <row r="418" spans="1:37" s="24" customFormat="1" ht="15">
      <c r="A418" s="119"/>
      <c r="B418" s="110"/>
      <c r="C418" s="89"/>
      <c r="D418" s="89"/>
      <c r="E418" s="89"/>
      <c r="F418" s="89"/>
      <c r="G418" s="23"/>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5"/>
      <c r="AK418" s="285"/>
    </row>
    <row r="419" spans="1:37" s="24" customFormat="1" ht="15">
      <c r="A419" s="119"/>
      <c r="B419" s="110"/>
      <c r="C419" s="89"/>
      <c r="D419" s="89"/>
      <c r="E419" s="89"/>
      <c r="F419" s="89"/>
      <c r="G419" s="23"/>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c r="AJ419" s="285"/>
      <c r="AK419" s="285"/>
    </row>
    <row r="420" spans="1:37" s="24" customFormat="1" ht="15">
      <c r="A420" s="119"/>
      <c r="B420" s="110"/>
      <c r="C420" s="89"/>
      <c r="D420" s="89"/>
      <c r="E420" s="89"/>
      <c r="F420" s="89"/>
      <c r="G420" s="23"/>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c r="AJ420" s="285"/>
      <c r="AK420" s="285"/>
    </row>
    <row r="421" spans="1:37" s="24" customFormat="1" ht="15">
      <c r="A421" s="119"/>
      <c r="B421" s="110"/>
      <c r="C421" s="89"/>
      <c r="D421" s="89"/>
      <c r="E421" s="89"/>
      <c r="F421" s="89"/>
      <c r="G421" s="23"/>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c r="AJ421" s="285"/>
      <c r="AK421" s="285"/>
    </row>
    <row r="422" spans="1:37" s="24" customFormat="1" ht="15">
      <c r="A422" s="119"/>
      <c r="B422" s="110"/>
      <c r="C422" s="89"/>
      <c r="D422" s="89"/>
      <c r="E422" s="89"/>
      <c r="F422" s="89"/>
      <c r="G422" s="23"/>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c r="AJ422" s="285"/>
      <c r="AK422" s="285"/>
    </row>
    <row r="423" spans="1:37" s="24" customFormat="1" ht="15">
      <c r="A423" s="119"/>
      <c r="B423" s="110"/>
      <c r="C423" s="89"/>
      <c r="D423" s="89"/>
      <c r="E423" s="89"/>
      <c r="F423" s="89"/>
      <c r="G423" s="23"/>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c r="AJ423" s="285"/>
      <c r="AK423" s="285"/>
    </row>
    <row r="424" spans="1:37" s="24" customFormat="1" ht="15">
      <c r="A424" s="119"/>
      <c r="B424" s="110"/>
      <c r="C424" s="89"/>
      <c r="D424" s="89"/>
      <c r="E424" s="89"/>
      <c r="F424" s="89"/>
      <c r="G424" s="23"/>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c r="AJ424" s="285"/>
      <c r="AK424" s="285"/>
    </row>
    <row r="425" spans="1:37" s="24" customFormat="1" ht="15">
      <c r="A425" s="119"/>
      <c r="B425" s="110"/>
      <c r="C425" s="89"/>
      <c r="D425" s="89"/>
      <c r="E425" s="89"/>
      <c r="F425" s="89"/>
      <c r="G425" s="23"/>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5"/>
      <c r="AK425" s="285"/>
    </row>
    <row r="426" spans="1:37" s="24" customFormat="1" ht="15">
      <c r="A426" s="119"/>
      <c r="B426" s="110"/>
      <c r="C426" s="89"/>
      <c r="D426" s="89"/>
      <c r="E426" s="89"/>
      <c r="F426" s="89"/>
      <c r="G426" s="23"/>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c r="AJ426" s="285"/>
      <c r="AK426" s="285"/>
    </row>
    <row r="427" spans="1:37" s="24" customFormat="1" ht="15">
      <c r="A427" s="119"/>
      <c r="B427" s="110"/>
      <c r="C427" s="89"/>
      <c r="D427" s="89"/>
      <c r="E427" s="89"/>
      <c r="F427" s="89"/>
      <c r="G427" s="23"/>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c r="AJ427" s="285"/>
      <c r="AK427" s="285"/>
    </row>
    <row r="428" spans="1:37" s="24" customFormat="1" ht="15">
      <c r="A428" s="119"/>
      <c r="B428" s="110"/>
      <c r="C428" s="89"/>
      <c r="D428" s="89"/>
      <c r="E428" s="89"/>
      <c r="F428" s="89"/>
      <c r="G428" s="23"/>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c r="AJ428" s="285"/>
      <c r="AK428" s="285"/>
    </row>
    <row r="429" spans="1:37" s="24" customFormat="1" ht="15">
      <c r="A429" s="119"/>
      <c r="B429" s="110"/>
      <c r="C429" s="89"/>
      <c r="D429" s="89"/>
      <c r="E429" s="89"/>
      <c r="F429" s="89"/>
      <c r="G429" s="23"/>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c r="AJ429" s="285"/>
      <c r="AK429" s="285"/>
    </row>
    <row r="430" spans="1:37" s="24" customFormat="1" ht="15">
      <c r="A430" s="119"/>
      <c r="B430" s="110"/>
      <c r="C430" s="89"/>
      <c r="D430" s="89"/>
      <c r="E430" s="89"/>
      <c r="F430" s="89"/>
      <c r="G430" s="23"/>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c r="AJ430" s="285"/>
      <c r="AK430" s="285"/>
    </row>
    <row r="431" spans="1:37" s="24" customFormat="1" ht="15">
      <c r="A431" s="119"/>
      <c r="B431" s="110"/>
      <c r="C431" s="89"/>
      <c r="D431" s="89"/>
      <c r="E431" s="89"/>
      <c r="F431" s="89"/>
      <c r="G431" s="23"/>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c r="AJ431" s="285"/>
      <c r="AK431" s="285"/>
    </row>
    <row r="432" spans="1:37" s="24" customFormat="1" ht="15">
      <c r="A432" s="119"/>
      <c r="B432" s="110"/>
      <c r="C432" s="89"/>
      <c r="D432" s="89"/>
      <c r="E432" s="89"/>
      <c r="F432" s="89"/>
      <c r="G432" s="23"/>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5"/>
      <c r="AK432" s="285"/>
    </row>
    <row r="433" spans="1:37" s="24" customFormat="1" ht="15">
      <c r="A433" s="119"/>
      <c r="B433" s="110"/>
      <c r="C433" s="89"/>
      <c r="D433" s="89"/>
      <c r="E433" s="89"/>
      <c r="F433" s="89"/>
      <c r="G433" s="23"/>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85"/>
      <c r="AK433" s="285"/>
    </row>
    <row r="434" spans="1:37" s="24" customFormat="1" ht="15">
      <c r="A434" s="119"/>
      <c r="B434" s="110"/>
      <c r="C434" s="89"/>
      <c r="D434" s="89"/>
      <c r="E434" s="89"/>
      <c r="F434" s="89"/>
      <c r="G434" s="23"/>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c r="AJ434" s="285"/>
      <c r="AK434" s="285"/>
    </row>
    <row r="435" spans="1:37" s="24" customFormat="1" ht="15">
      <c r="A435" s="119"/>
      <c r="B435" s="110"/>
      <c r="C435" s="89"/>
      <c r="D435" s="89"/>
      <c r="E435" s="89"/>
      <c r="F435" s="89"/>
      <c r="G435" s="23"/>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c r="AJ435" s="285"/>
      <c r="AK435" s="285"/>
    </row>
    <row r="436" spans="1:37" s="24" customFormat="1" ht="15">
      <c r="A436" s="119"/>
      <c r="B436" s="110"/>
      <c r="C436" s="89"/>
      <c r="D436" s="89"/>
      <c r="E436" s="89"/>
      <c r="F436" s="89"/>
      <c r="G436" s="23"/>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c r="AJ436" s="285"/>
      <c r="AK436" s="285"/>
    </row>
    <row r="437" spans="1:37" s="24" customFormat="1" ht="15">
      <c r="A437" s="119"/>
      <c r="B437" s="110"/>
      <c r="C437" s="89"/>
      <c r="D437" s="89"/>
      <c r="E437" s="89"/>
      <c r="F437" s="89"/>
      <c r="G437" s="23"/>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c r="AJ437" s="285"/>
      <c r="AK437" s="285"/>
    </row>
    <row r="438" spans="1:37" s="24" customFormat="1" ht="15">
      <c r="A438" s="119"/>
      <c r="B438" s="110"/>
      <c r="C438" s="89"/>
      <c r="D438" s="89"/>
      <c r="E438" s="89"/>
      <c r="F438" s="89"/>
      <c r="G438" s="23"/>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c r="AJ438" s="285"/>
      <c r="AK438" s="285"/>
    </row>
    <row r="439" spans="1:37" s="24" customFormat="1" ht="15">
      <c r="A439" s="119"/>
      <c r="B439" s="110"/>
      <c r="C439" s="89"/>
      <c r="D439" s="89"/>
      <c r="E439" s="89"/>
      <c r="F439" s="89"/>
      <c r="G439" s="23"/>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c r="AJ439" s="285"/>
      <c r="AK439" s="285"/>
    </row>
    <row r="440" spans="1:37" s="24" customFormat="1" ht="15">
      <c r="A440" s="119"/>
      <c r="B440" s="110"/>
      <c r="C440" s="89"/>
      <c r="D440" s="89"/>
      <c r="E440" s="89"/>
      <c r="F440" s="89"/>
      <c r="G440" s="23"/>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5"/>
      <c r="AK440" s="285"/>
    </row>
    <row r="441" spans="1:37" s="24" customFormat="1" ht="15">
      <c r="A441" s="119"/>
      <c r="B441" s="110"/>
      <c r="C441" s="89"/>
      <c r="D441" s="89"/>
      <c r="E441" s="89"/>
      <c r="F441" s="89"/>
      <c r="G441" s="23"/>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c r="AJ441" s="285"/>
      <c r="AK441" s="285"/>
    </row>
    <row r="442" spans="1:37" s="24" customFormat="1" ht="15">
      <c r="A442" s="119"/>
      <c r="B442" s="110"/>
      <c r="C442" s="89"/>
      <c r="D442" s="89"/>
      <c r="E442" s="89"/>
      <c r="F442" s="89"/>
      <c r="G442" s="23"/>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c r="AJ442" s="285"/>
      <c r="AK442" s="285"/>
    </row>
    <row r="443" spans="1:37" s="24" customFormat="1" ht="15">
      <c r="A443" s="119"/>
      <c r="B443" s="110"/>
      <c r="C443" s="89"/>
      <c r="D443" s="89"/>
      <c r="E443" s="89"/>
      <c r="F443" s="89"/>
      <c r="G443" s="23"/>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c r="AJ443" s="285"/>
      <c r="AK443" s="285"/>
    </row>
    <row r="444" spans="1:37" s="24" customFormat="1" ht="15">
      <c r="A444" s="119"/>
      <c r="B444" s="110"/>
      <c r="C444" s="89"/>
      <c r="D444" s="89"/>
      <c r="E444" s="89"/>
      <c r="F444" s="89"/>
      <c r="G444" s="23"/>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5"/>
      <c r="AK444" s="285"/>
    </row>
    <row r="445" spans="1:37" s="24" customFormat="1" ht="15">
      <c r="A445" s="119"/>
      <c r="B445" s="110"/>
      <c r="C445" s="89"/>
      <c r="D445" s="89"/>
      <c r="E445" s="89"/>
      <c r="F445" s="89"/>
      <c r="G445" s="23"/>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c r="AJ445" s="285"/>
      <c r="AK445" s="285"/>
    </row>
    <row r="446" spans="1:37" s="24" customFormat="1" ht="15">
      <c r="A446" s="119"/>
      <c r="B446" s="110"/>
      <c r="C446" s="89"/>
      <c r="D446" s="89"/>
      <c r="E446" s="89"/>
      <c r="F446" s="89"/>
      <c r="G446" s="23"/>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5"/>
      <c r="AK446" s="285"/>
    </row>
    <row r="447" spans="1:37" s="24" customFormat="1" ht="15">
      <c r="A447" s="119"/>
      <c r="B447" s="110"/>
      <c r="C447" s="89"/>
      <c r="D447" s="89"/>
      <c r="E447" s="89"/>
      <c r="F447" s="89"/>
      <c r="G447" s="23"/>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c r="AJ447" s="285"/>
      <c r="AK447" s="285"/>
    </row>
    <row r="448" spans="1:37" s="24" customFormat="1" ht="15">
      <c r="A448" s="119"/>
      <c r="B448" s="110"/>
      <c r="C448" s="89"/>
      <c r="D448" s="89"/>
      <c r="E448" s="89"/>
      <c r="F448" s="89"/>
      <c r="G448" s="23"/>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c r="AJ448" s="285"/>
      <c r="AK448" s="285"/>
    </row>
    <row r="449" spans="1:37" s="24" customFormat="1" ht="15">
      <c r="A449" s="119"/>
      <c r="B449" s="110"/>
      <c r="C449" s="89"/>
      <c r="D449" s="89"/>
      <c r="E449" s="89"/>
      <c r="F449" s="89"/>
      <c r="G449" s="23"/>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5"/>
      <c r="AK449" s="285"/>
    </row>
    <row r="450" spans="1:37" s="24" customFormat="1" ht="15">
      <c r="A450" s="119"/>
      <c r="B450" s="110"/>
      <c r="C450" s="89"/>
      <c r="D450" s="89"/>
      <c r="E450" s="89"/>
      <c r="F450" s="89"/>
      <c r="G450" s="23"/>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c r="AJ450" s="285"/>
      <c r="AK450" s="285"/>
    </row>
    <row r="451" spans="1:37" s="24" customFormat="1" ht="15">
      <c r="A451" s="119"/>
      <c r="B451" s="110"/>
      <c r="C451" s="89"/>
      <c r="D451" s="89"/>
      <c r="E451" s="89"/>
      <c r="F451" s="89"/>
      <c r="G451" s="23"/>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c r="AJ451" s="285"/>
      <c r="AK451" s="285"/>
    </row>
    <row r="452" spans="1:37" s="24" customFormat="1" ht="15">
      <c r="A452" s="119"/>
      <c r="B452" s="110"/>
      <c r="C452" s="89"/>
      <c r="D452" s="89"/>
      <c r="E452" s="89"/>
      <c r="F452" s="89"/>
      <c r="G452" s="23"/>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c r="AJ452" s="285"/>
      <c r="AK452" s="285"/>
    </row>
    <row r="453" spans="1:37" s="24" customFormat="1" ht="15">
      <c r="A453" s="119"/>
      <c r="B453" s="110"/>
      <c r="C453" s="89"/>
      <c r="D453" s="89"/>
      <c r="E453" s="89"/>
      <c r="F453" s="89"/>
      <c r="G453" s="23"/>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c r="AJ453" s="285"/>
      <c r="AK453" s="285"/>
    </row>
    <row r="454" spans="1:37" s="24" customFormat="1" ht="15">
      <c r="A454" s="119"/>
      <c r="B454" s="110"/>
      <c r="C454" s="89"/>
      <c r="D454" s="89"/>
      <c r="E454" s="89"/>
      <c r="F454" s="89"/>
      <c r="G454" s="23"/>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c r="AJ454" s="285"/>
      <c r="AK454" s="285"/>
    </row>
    <row r="455" spans="1:37" s="24" customFormat="1" ht="15">
      <c r="A455" s="119"/>
      <c r="B455" s="110"/>
      <c r="C455" s="89"/>
      <c r="D455" s="89"/>
      <c r="E455" s="89"/>
      <c r="F455" s="89"/>
      <c r="G455" s="23"/>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c r="AJ455" s="285"/>
      <c r="AK455" s="285"/>
    </row>
    <row r="456" spans="1:37" s="24" customFormat="1" ht="15">
      <c r="A456" s="119"/>
      <c r="B456" s="110"/>
      <c r="C456" s="89"/>
      <c r="D456" s="89"/>
      <c r="E456" s="89"/>
      <c r="F456" s="89"/>
      <c r="G456" s="23"/>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c r="AJ456" s="285"/>
      <c r="AK456" s="285"/>
    </row>
    <row r="457" spans="1:37" s="24" customFormat="1" ht="15">
      <c r="A457" s="119"/>
      <c r="B457" s="110"/>
      <c r="C457" s="89"/>
      <c r="D457" s="89"/>
      <c r="E457" s="89"/>
      <c r="F457" s="89"/>
      <c r="G457" s="23"/>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c r="AJ457" s="285"/>
      <c r="AK457" s="285"/>
    </row>
    <row r="458" spans="1:37" s="24" customFormat="1" ht="15">
      <c r="A458" s="119"/>
      <c r="B458" s="110"/>
      <c r="C458" s="89"/>
      <c r="D458" s="89"/>
      <c r="E458" s="89"/>
      <c r="F458" s="89"/>
      <c r="G458" s="23"/>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c r="AJ458" s="285"/>
      <c r="AK458" s="285"/>
    </row>
    <row r="459" spans="1:37" s="24" customFormat="1" ht="15">
      <c r="A459" s="119"/>
      <c r="B459" s="110"/>
      <c r="C459" s="89"/>
      <c r="D459" s="89"/>
      <c r="E459" s="89"/>
      <c r="F459" s="89"/>
      <c r="G459" s="23"/>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c r="AJ459" s="285"/>
      <c r="AK459" s="285"/>
    </row>
    <row r="460" spans="1:37" s="24" customFormat="1" ht="15">
      <c r="A460" s="119"/>
      <c r="B460" s="110"/>
      <c r="C460" s="89"/>
      <c r="D460" s="89"/>
      <c r="E460" s="89"/>
      <c r="F460" s="89"/>
      <c r="G460" s="23"/>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5"/>
      <c r="AK460" s="285"/>
    </row>
    <row r="461" spans="1:37" s="24" customFormat="1" ht="15">
      <c r="A461" s="119"/>
      <c r="B461" s="110"/>
      <c r="C461" s="89"/>
      <c r="D461" s="89"/>
      <c r="E461" s="89"/>
      <c r="F461" s="89"/>
      <c r="G461" s="23"/>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c r="AJ461" s="285"/>
      <c r="AK461" s="285"/>
    </row>
    <row r="462" spans="1:37" s="24" customFormat="1" ht="15">
      <c r="A462" s="119"/>
      <c r="B462" s="110"/>
      <c r="C462" s="89"/>
      <c r="D462" s="89"/>
      <c r="E462" s="89"/>
      <c r="F462" s="89"/>
      <c r="G462" s="23"/>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5"/>
      <c r="AK462" s="285"/>
    </row>
    <row r="463" spans="1:37" s="24" customFormat="1" ht="15">
      <c r="A463" s="119"/>
      <c r="B463" s="110"/>
      <c r="C463" s="89"/>
      <c r="D463" s="89"/>
      <c r="E463" s="89"/>
      <c r="F463" s="89"/>
      <c r="G463" s="23"/>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c r="AJ463" s="285"/>
      <c r="AK463" s="285"/>
    </row>
    <row r="464" spans="1:37" s="24" customFormat="1" ht="15">
      <c r="A464" s="119"/>
      <c r="B464" s="110"/>
      <c r="C464" s="89"/>
      <c r="D464" s="89"/>
      <c r="E464" s="89"/>
      <c r="F464" s="89"/>
      <c r="G464" s="23"/>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c r="AJ464" s="285"/>
      <c r="AK464" s="285"/>
    </row>
    <row r="465" spans="1:37" s="24" customFormat="1" ht="15">
      <c r="A465" s="119"/>
      <c r="B465" s="110"/>
      <c r="C465" s="89"/>
      <c r="D465" s="89"/>
      <c r="E465" s="89"/>
      <c r="F465" s="89"/>
      <c r="G465" s="23"/>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c r="AJ465" s="285"/>
      <c r="AK465" s="285"/>
    </row>
    <row r="466" spans="1:37" s="24" customFormat="1" ht="15">
      <c r="A466" s="119"/>
      <c r="B466" s="110"/>
      <c r="C466" s="89"/>
      <c r="D466" s="89"/>
      <c r="E466" s="89"/>
      <c r="F466" s="89"/>
      <c r="G466" s="23"/>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c r="AJ466" s="285"/>
      <c r="AK466" s="285"/>
    </row>
    <row r="467" spans="1:37" s="24" customFormat="1" ht="15">
      <c r="A467" s="119"/>
      <c r="B467" s="110"/>
      <c r="C467" s="89"/>
      <c r="D467" s="89"/>
      <c r="E467" s="89"/>
      <c r="F467" s="89"/>
      <c r="G467" s="23"/>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c r="AJ467" s="285"/>
      <c r="AK467" s="285"/>
    </row>
    <row r="468" spans="1:37" s="24" customFormat="1" ht="15">
      <c r="A468" s="119"/>
      <c r="B468" s="110"/>
      <c r="C468" s="89"/>
      <c r="D468" s="89"/>
      <c r="E468" s="89"/>
      <c r="F468" s="89"/>
      <c r="G468" s="23"/>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5"/>
      <c r="AK468" s="285"/>
    </row>
    <row r="469" spans="1:37" s="24" customFormat="1" ht="15">
      <c r="A469" s="119"/>
      <c r="B469" s="110"/>
      <c r="C469" s="89"/>
      <c r="D469" s="89"/>
      <c r="E469" s="89"/>
      <c r="F469" s="89"/>
      <c r="G469" s="23"/>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c r="AJ469" s="285"/>
      <c r="AK469" s="285"/>
    </row>
    <row r="470" spans="1:37" s="24" customFormat="1" ht="15">
      <c r="A470" s="119"/>
      <c r="B470" s="110"/>
      <c r="C470" s="89"/>
      <c r="D470" s="89"/>
      <c r="E470" s="89"/>
      <c r="F470" s="89"/>
      <c r="G470" s="23"/>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c r="AJ470" s="285"/>
      <c r="AK470" s="285"/>
    </row>
    <row r="471" spans="1:37" s="24" customFormat="1" ht="15">
      <c r="A471" s="119"/>
      <c r="B471" s="110"/>
      <c r="C471" s="89"/>
      <c r="D471" s="89"/>
      <c r="E471" s="89"/>
      <c r="F471" s="89"/>
      <c r="G471" s="23"/>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c r="AJ471" s="285"/>
      <c r="AK471" s="285"/>
    </row>
    <row r="472" spans="1:37" s="24" customFormat="1" ht="15">
      <c r="A472" s="119"/>
      <c r="B472" s="110"/>
      <c r="C472" s="89"/>
      <c r="D472" s="89"/>
      <c r="E472" s="89"/>
      <c r="F472" s="89"/>
      <c r="G472" s="23"/>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c r="AJ472" s="285"/>
      <c r="AK472" s="285"/>
    </row>
    <row r="473" spans="1:37" s="24" customFormat="1" ht="15">
      <c r="A473" s="119"/>
      <c r="B473" s="110"/>
      <c r="C473" s="89"/>
      <c r="D473" s="89"/>
      <c r="E473" s="89"/>
      <c r="F473" s="89"/>
      <c r="G473" s="23"/>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c r="AJ473" s="285"/>
      <c r="AK473" s="285"/>
    </row>
    <row r="474" spans="1:37" s="24" customFormat="1" ht="15">
      <c r="A474" s="119"/>
      <c r="B474" s="110"/>
      <c r="C474" s="89"/>
      <c r="D474" s="89"/>
      <c r="E474" s="89"/>
      <c r="F474" s="89"/>
      <c r="G474" s="23"/>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5"/>
      <c r="AK474" s="285"/>
    </row>
    <row r="475" spans="1:37" s="24" customFormat="1" ht="15">
      <c r="A475" s="119"/>
      <c r="B475" s="110"/>
      <c r="C475" s="89"/>
      <c r="D475" s="89"/>
      <c r="E475" s="89"/>
      <c r="F475" s="89"/>
      <c r="G475" s="23"/>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c r="AJ475" s="285"/>
      <c r="AK475" s="285"/>
    </row>
    <row r="476" spans="1:37" s="24" customFormat="1" ht="15">
      <c r="A476" s="119"/>
      <c r="B476" s="110"/>
      <c r="C476" s="89"/>
      <c r="D476" s="89"/>
      <c r="E476" s="89"/>
      <c r="F476" s="89"/>
      <c r="G476" s="23"/>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c r="AJ476" s="285"/>
      <c r="AK476" s="285"/>
    </row>
    <row r="477" spans="1:37" s="24" customFormat="1" ht="15">
      <c r="A477" s="119"/>
      <c r="B477" s="110"/>
      <c r="C477" s="89"/>
      <c r="D477" s="89"/>
      <c r="E477" s="89"/>
      <c r="F477" s="89"/>
      <c r="G477" s="23"/>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c r="AJ477" s="285"/>
      <c r="AK477" s="285"/>
    </row>
    <row r="478" spans="1:37" s="24" customFormat="1" ht="15">
      <c r="A478" s="119"/>
      <c r="B478" s="110"/>
      <c r="C478" s="89"/>
      <c r="D478" s="89"/>
      <c r="E478" s="89"/>
      <c r="F478" s="89"/>
      <c r="G478" s="23"/>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c r="AJ478" s="285"/>
      <c r="AK478" s="285"/>
    </row>
    <row r="479" spans="1:37" s="24" customFormat="1" ht="15">
      <c r="A479" s="119"/>
      <c r="B479" s="110"/>
      <c r="C479" s="89"/>
      <c r="D479" s="89"/>
      <c r="E479" s="89"/>
      <c r="F479" s="89"/>
      <c r="G479" s="23"/>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c r="AJ479" s="285"/>
      <c r="AK479" s="285"/>
    </row>
    <row r="480" spans="1:37" s="24" customFormat="1" ht="15">
      <c r="A480" s="119"/>
      <c r="B480" s="110"/>
      <c r="C480" s="89"/>
      <c r="D480" s="89"/>
      <c r="E480" s="89"/>
      <c r="F480" s="89"/>
      <c r="G480" s="23"/>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c r="AJ480" s="285"/>
      <c r="AK480" s="285"/>
    </row>
    <row r="481" spans="1:37" s="24" customFormat="1" ht="15">
      <c r="A481" s="119"/>
      <c r="B481" s="110"/>
      <c r="C481" s="89"/>
      <c r="D481" s="89"/>
      <c r="E481" s="89"/>
      <c r="F481" s="89"/>
      <c r="G481" s="23"/>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c r="AJ481" s="285"/>
      <c r="AK481" s="285"/>
    </row>
    <row r="482" spans="1:37" s="24" customFormat="1" ht="15">
      <c r="A482" s="119"/>
      <c r="B482" s="110"/>
      <c r="C482" s="89"/>
      <c r="D482" s="89"/>
      <c r="E482" s="89"/>
      <c r="F482" s="89"/>
      <c r="G482" s="23"/>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c r="AJ482" s="285"/>
      <c r="AK482" s="285"/>
    </row>
    <row r="483" spans="1:37" s="24" customFormat="1" ht="15">
      <c r="A483" s="119"/>
      <c r="B483" s="110"/>
      <c r="C483" s="89"/>
      <c r="D483" s="89"/>
      <c r="E483" s="89"/>
      <c r="F483" s="89"/>
      <c r="G483" s="23"/>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c r="AJ483" s="285"/>
      <c r="AK483" s="285"/>
    </row>
    <row r="484" spans="1:37" s="24" customFormat="1" ht="15">
      <c r="A484" s="119"/>
      <c r="B484" s="110"/>
      <c r="C484" s="89"/>
      <c r="D484" s="89"/>
      <c r="E484" s="89"/>
      <c r="F484" s="89"/>
      <c r="G484" s="23"/>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5"/>
      <c r="AK484" s="285"/>
    </row>
    <row r="485" spans="1:37" s="24" customFormat="1" ht="15">
      <c r="A485" s="119"/>
      <c r="B485" s="110"/>
      <c r="C485" s="89"/>
      <c r="D485" s="89"/>
      <c r="E485" s="89"/>
      <c r="F485" s="89"/>
      <c r="G485" s="23"/>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c r="AJ485" s="285"/>
      <c r="AK485" s="285"/>
    </row>
    <row r="486" spans="1:37" s="24" customFormat="1" ht="15">
      <c r="A486" s="119"/>
      <c r="B486" s="110"/>
      <c r="C486" s="89"/>
      <c r="D486" s="89"/>
      <c r="E486" s="89"/>
      <c r="F486" s="89"/>
      <c r="G486" s="23"/>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c r="AJ486" s="285"/>
      <c r="AK486" s="285"/>
    </row>
    <row r="487" spans="1:37" s="24" customFormat="1" ht="15">
      <c r="A487" s="119"/>
      <c r="B487" s="110"/>
      <c r="C487" s="89"/>
      <c r="D487" s="89"/>
      <c r="E487" s="89"/>
      <c r="F487" s="89"/>
      <c r="G487" s="23"/>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c r="AJ487" s="285"/>
      <c r="AK487" s="285"/>
    </row>
    <row r="488" spans="1:37" s="24" customFormat="1" ht="15">
      <c r="A488" s="119"/>
      <c r="B488" s="110"/>
      <c r="C488" s="89"/>
      <c r="D488" s="89"/>
      <c r="E488" s="89"/>
      <c r="F488" s="89"/>
      <c r="G488" s="23"/>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c r="AJ488" s="285"/>
      <c r="AK488" s="285"/>
    </row>
    <row r="489" spans="1:37" s="24" customFormat="1" ht="15">
      <c r="A489" s="119"/>
      <c r="B489" s="110"/>
      <c r="C489" s="89"/>
      <c r="D489" s="89"/>
      <c r="E489" s="89"/>
      <c r="F489" s="89"/>
      <c r="G489" s="23"/>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c r="AJ489" s="285"/>
      <c r="AK489" s="285"/>
    </row>
    <row r="490" spans="1:37" s="24" customFormat="1" ht="15">
      <c r="A490" s="119"/>
      <c r="B490" s="110"/>
      <c r="C490" s="89"/>
      <c r="D490" s="89"/>
      <c r="E490" s="89"/>
      <c r="F490" s="89"/>
      <c r="G490" s="23"/>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c r="AJ490" s="285"/>
      <c r="AK490" s="285"/>
    </row>
    <row r="491" spans="1:37" s="24" customFormat="1" ht="15">
      <c r="A491" s="119"/>
      <c r="B491" s="110"/>
      <c r="C491" s="89"/>
      <c r="D491" s="89"/>
      <c r="E491" s="89"/>
      <c r="F491" s="89"/>
      <c r="G491" s="23"/>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c r="AJ491" s="285"/>
      <c r="AK491" s="285"/>
    </row>
    <row r="492" spans="1:37" s="24" customFormat="1" ht="15">
      <c r="A492" s="119"/>
      <c r="B492" s="110"/>
      <c r="C492" s="89"/>
      <c r="D492" s="89"/>
      <c r="E492" s="89"/>
      <c r="F492" s="89"/>
      <c r="G492" s="23"/>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c r="AJ492" s="285"/>
      <c r="AK492" s="285"/>
    </row>
    <row r="493" spans="1:37" s="24" customFormat="1" ht="15">
      <c r="A493" s="119"/>
      <c r="B493" s="110"/>
      <c r="C493" s="89"/>
      <c r="D493" s="89"/>
      <c r="E493" s="89"/>
      <c r="F493" s="89"/>
      <c r="G493" s="23"/>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c r="AJ493" s="285"/>
      <c r="AK493" s="285"/>
    </row>
    <row r="494" spans="1:37" s="24" customFormat="1" ht="15">
      <c r="A494" s="119"/>
      <c r="B494" s="110"/>
      <c r="C494" s="89"/>
      <c r="D494" s="89"/>
      <c r="E494" s="89"/>
      <c r="F494" s="89"/>
      <c r="G494" s="23"/>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c r="AJ494" s="285"/>
      <c r="AK494" s="285"/>
    </row>
    <row r="495" spans="1:37" s="24" customFormat="1" ht="15">
      <c r="A495" s="119"/>
      <c r="B495" s="110"/>
      <c r="C495" s="89"/>
      <c r="D495" s="89"/>
      <c r="E495" s="89"/>
      <c r="F495" s="89"/>
      <c r="G495" s="23"/>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c r="AJ495" s="285"/>
      <c r="AK495" s="285"/>
    </row>
    <row r="496" spans="1:37" s="24" customFormat="1" ht="15">
      <c r="A496" s="119"/>
      <c r="B496" s="110"/>
      <c r="C496" s="89"/>
      <c r="D496" s="89"/>
      <c r="E496" s="89"/>
      <c r="F496" s="89"/>
      <c r="G496" s="23"/>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c r="AJ496" s="285"/>
      <c r="AK496" s="285"/>
    </row>
    <row r="497" spans="1:37" s="24" customFormat="1" ht="15">
      <c r="A497" s="119"/>
      <c r="B497" s="110"/>
      <c r="C497" s="89"/>
      <c r="D497" s="89"/>
      <c r="E497" s="89"/>
      <c r="F497" s="89"/>
      <c r="G497" s="23"/>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c r="AJ497" s="285"/>
      <c r="AK497" s="285"/>
    </row>
    <row r="498" spans="1:37" s="24" customFormat="1" ht="15">
      <c r="A498" s="119"/>
      <c r="B498" s="110"/>
      <c r="C498" s="89"/>
      <c r="D498" s="89"/>
      <c r="E498" s="89"/>
      <c r="F498" s="89"/>
      <c r="G498" s="23"/>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c r="AJ498" s="285"/>
      <c r="AK498" s="285"/>
    </row>
    <row r="499" spans="1:37" s="24" customFormat="1" ht="15">
      <c r="A499" s="119"/>
      <c r="B499" s="110"/>
      <c r="C499" s="89"/>
      <c r="D499" s="89"/>
      <c r="E499" s="89"/>
      <c r="F499" s="89"/>
      <c r="G499" s="23"/>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c r="AJ499" s="285"/>
      <c r="AK499" s="285"/>
    </row>
    <row r="500" spans="1:37" s="24" customFormat="1" ht="15">
      <c r="A500" s="119"/>
      <c r="B500" s="110"/>
      <c r="C500" s="89"/>
      <c r="D500" s="89"/>
      <c r="E500" s="89"/>
      <c r="F500" s="89"/>
      <c r="G500" s="23"/>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c r="AJ500" s="285"/>
      <c r="AK500" s="285"/>
    </row>
    <row r="501" spans="1:37" s="24" customFormat="1" ht="15">
      <c r="A501" s="119"/>
      <c r="B501" s="110"/>
      <c r="C501" s="89"/>
      <c r="D501" s="89"/>
      <c r="E501" s="89"/>
      <c r="F501" s="89"/>
      <c r="G501" s="23"/>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c r="AJ501" s="285"/>
      <c r="AK501" s="285"/>
    </row>
    <row r="502" spans="1:37" s="24" customFormat="1" ht="15">
      <c r="A502" s="119"/>
      <c r="B502" s="110"/>
      <c r="C502" s="89"/>
      <c r="D502" s="89"/>
      <c r="E502" s="89"/>
      <c r="F502" s="89"/>
      <c r="G502" s="23"/>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c r="AJ502" s="285"/>
      <c r="AK502" s="285"/>
    </row>
    <row r="503" spans="1:37" s="24" customFormat="1" ht="15">
      <c r="A503" s="119"/>
      <c r="B503" s="110"/>
      <c r="C503" s="89"/>
      <c r="D503" s="89"/>
      <c r="E503" s="89"/>
      <c r="F503" s="89"/>
      <c r="G503" s="23"/>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c r="AJ503" s="285"/>
      <c r="AK503" s="285"/>
    </row>
    <row r="504" spans="1:37" s="24" customFormat="1" ht="15">
      <c r="A504" s="119"/>
      <c r="B504" s="110"/>
      <c r="C504" s="89"/>
      <c r="D504" s="89"/>
      <c r="E504" s="89"/>
      <c r="F504" s="89"/>
      <c r="G504" s="23"/>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c r="AJ504" s="285"/>
      <c r="AK504" s="285"/>
    </row>
    <row r="505" spans="1:37" s="24" customFormat="1" ht="15">
      <c r="A505" s="119"/>
      <c r="B505" s="110"/>
      <c r="C505" s="89"/>
      <c r="D505" s="89"/>
      <c r="E505" s="89"/>
      <c r="F505" s="89"/>
      <c r="G505" s="23"/>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c r="AJ505" s="285"/>
      <c r="AK505" s="285"/>
    </row>
    <row r="506" spans="1:37" s="24" customFormat="1" ht="15">
      <c r="A506" s="119"/>
      <c r="B506" s="110"/>
      <c r="C506" s="89"/>
      <c r="D506" s="89"/>
      <c r="E506" s="89"/>
      <c r="F506" s="89"/>
      <c r="G506" s="23"/>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c r="AJ506" s="285"/>
      <c r="AK506" s="285"/>
    </row>
    <row r="507" spans="1:37" s="24" customFormat="1" ht="15">
      <c r="A507" s="119"/>
      <c r="B507" s="110"/>
      <c r="C507" s="89"/>
      <c r="D507" s="89"/>
      <c r="E507" s="89"/>
      <c r="F507" s="89"/>
      <c r="G507" s="23"/>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c r="AJ507" s="285"/>
      <c r="AK507" s="285"/>
    </row>
    <row r="508" spans="1:37" s="24" customFormat="1" ht="15">
      <c r="A508" s="119"/>
      <c r="B508" s="110"/>
      <c r="C508" s="89"/>
      <c r="D508" s="89"/>
      <c r="E508" s="89"/>
      <c r="F508" s="89"/>
      <c r="G508" s="23"/>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c r="AJ508" s="285"/>
      <c r="AK508" s="285"/>
    </row>
    <row r="509" spans="1:37" s="24" customFormat="1" ht="15">
      <c r="A509" s="119"/>
      <c r="B509" s="110"/>
      <c r="C509" s="89"/>
      <c r="D509" s="89"/>
      <c r="E509" s="89"/>
      <c r="F509" s="89"/>
      <c r="G509" s="23"/>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5"/>
      <c r="AK509" s="285"/>
    </row>
    <row r="510" spans="1:37" s="24" customFormat="1" ht="15">
      <c r="A510" s="119"/>
      <c r="B510" s="110"/>
      <c r="C510" s="89"/>
      <c r="D510" s="89"/>
      <c r="E510" s="89"/>
      <c r="F510" s="89"/>
      <c r="G510" s="23"/>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row>
    <row r="511" spans="1:37" s="24" customFormat="1" ht="15">
      <c r="A511" s="119"/>
      <c r="B511" s="110"/>
      <c r="C511" s="89"/>
      <c r="D511" s="89"/>
      <c r="E511" s="89"/>
      <c r="F511" s="89"/>
      <c r="G511" s="23"/>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c r="AJ511" s="285"/>
      <c r="AK511" s="285"/>
    </row>
    <row r="512" spans="1:37" s="24" customFormat="1" ht="15">
      <c r="A512" s="119"/>
      <c r="B512" s="110"/>
      <c r="C512" s="89"/>
      <c r="D512" s="89"/>
      <c r="E512" s="89"/>
      <c r="F512" s="89"/>
      <c r="G512" s="23"/>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c r="AJ512" s="285"/>
      <c r="AK512" s="285"/>
    </row>
    <row r="513" spans="1:37" s="24" customFormat="1" ht="15">
      <c r="A513" s="119"/>
      <c r="B513" s="110"/>
      <c r="C513" s="89"/>
      <c r="D513" s="89"/>
      <c r="E513" s="89"/>
      <c r="F513" s="89"/>
      <c r="G513" s="23"/>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c r="AJ513" s="285"/>
      <c r="AK513" s="285"/>
    </row>
    <row r="514" spans="1:37" s="24" customFormat="1" ht="15">
      <c r="A514" s="119"/>
      <c r="B514" s="110"/>
      <c r="C514" s="89"/>
      <c r="D514" s="89"/>
      <c r="E514" s="89"/>
      <c r="F514" s="89"/>
      <c r="G514" s="23"/>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c r="AJ514" s="285"/>
      <c r="AK514" s="285"/>
    </row>
    <row r="515" spans="1:37" s="24" customFormat="1" ht="15">
      <c r="A515" s="119"/>
      <c r="B515" s="110"/>
      <c r="C515" s="89"/>
      <c r="D515" s="89"/>
      <c r="E515" s="89"/>
      <c r="F515" s="89"/>
      <c r="G515" s="23"/>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c r="AJ515" s="285"/>
      <c r="AK515" s="285"/>
    </row>
    <row r="516" spans="1:37" s="24" customFormat="1" ht="15">
      <c r="A516" s="119"/>
      <c r="B516" s="110"/>
      <c r="C516" s="89"/>
      <c r="D516" s="89"/>
      <c r="E516" s="89"/>
      <c r="F516" s="89"/>
      <c r="G516" s="23"/>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c r="AJ516" s="285"/>
      <c r="AK516" s="285"/>
    </row>
    <row r="517" spans="1:37" s="24" customFormat="1" ht="15">
      <c r="A517" s="119"/>
      <c r="B517" s="110"/>
      <c r="C517" s="89"/>
      <c r="D517" s="89"/>
      <c r="E517" s="89"/>
      <c r="F517" s="89"/>
      <c r="G517" s="23"/>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c r="AJ517" s="285"/>
      <c r="AK517" s="285"/>
    </row>
    <row r="518" spans="1:37" s="24" customFormat="1" ht="15">
      <c r="A518" s="119"/>
      <c r="B518" s="110"/>
      <c r="C518" s="89"/>
      <c r="D518" s="89"/>
      <c r="E518" s="89"/>
      <c r="F518" s="89"/>
      <c r="G518" s="23"/>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c r="AJ518" s="285"/>
      <c r="AK518" s="285"/>
    </row>
    <row r="519" spans="1:37" s="24" customFormat="1" ht="15">
      <c r="A519" s="119"/>
      <c r="B519" s="110"/>
      <c r="C519" s="89"/>
      <c r="D519" s="89"/>
      <c r="E519" s="89"/>
      <c r="F519" s="89"/>
      <c r="G519" s="23"/>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5"/>
      <c r="AK519" s="285"/>
    </row>
    <row r="520" spans="1:37" s="24" customFormat="1" ht="15">
      <c r="A520" s="119"/>
      <c r="B520" s="110"/>
      <c r="C520" s="89"/>
      <c r="D520" s="89"/>
      <c r="E520" s="89"/>
      <c r="F520" s="89"/>
      <c r="G520" s="23"/>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c r="AJ520" s="285"/>
      <c r="AK520" s="285"/>
    </row>
    <row r="521" spans="1:37" s="24" customFormat="1" ht="15">
      <c r="A521" s="119"/>
      <c r="B521" s="110"/>
      <c r="C521" s="89"/>
      <c r="D521" s="89"/>
      <c r="E521" s="89"/>
      <c r="F521" s="89"/>
      <c r="G521" s="23"/>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c r="AJ521" s="285"/>
      <c r="AK521" s="285"/>
    </row>
    <row r="522" spans="1:37" s="24" customFormat="1" ht="15">
      <c r="A522" s="119"/>
      <c r="B522" s="110"/>
      <c r="C522" s="89"/>
      <c r="D522" s="89"/>
      <c r="E522" s="89"/>
      <c r="F522" s="89"/>
      <c r="G522" s="23"/>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c r="AJ522" s="285"/>
      <c r="AK522" s="285"/>
    </row>
    <row r="523" spans="1:37" s="24" customFormat="1" ht="15">
      <c r="A523" s="119"/>
      <c r="B523" s="110"/>
      <c r="C523" s="89"/>
      <c r="D523" s="89"/>
      <c r="E523" s="89"/>
      <c r="F523" s="89"/>
      <c r="G523" s="23"/>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c r="AJ523" s="285"/>
      <c r="AK523" s="285"/>
    </row>
    <row r="524" spans="1:37" s="24" customFormat="1" ht="15">
      <c r="A524" s="119"/>
      <c r="B524" s="110"/>
      <c r="C524" s="89"/>
      <c r="D524" s="89"/>
      <c r="E524" s="89"/>
      <c r="F524" s="89"/>
      <c r="G524" s="23"/>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c r="AJ524" s="285"/>
      <c r="AK524" s="285"/>
    </row>
    <row r="525" spans="1:37" s="24" customFormat="1" ht="15">
      <c r="A525" s="119"/>
      <c r="B525" s="110"/>
      <c r="C525" s="89"/>
      <c r="D525" s="89"/>
      <c r="E525" s="89"/>
      <c r="F525" s="89"/>
      <c r="G525" s="23"/>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85"/>
      <c r="AK525" s="285"/>
    </row>
    <row r="526" spans="1:37" s="24" customFormat="1" ht="15">
      <c r="A526" s="119"/>
      <c r="B526" s="110"/>
      <c r="C526" s="89"/>
      <c r="D526" s="89"/>
      <c r="E526" s="89"/>
      <c r="F526" s="89"/>
      <c r="G526" s="23"/>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c r="AJ526" s="285"/>
      <c r="AK526" s="285"/>
    </row>
    <row r="527" spans="1:37" s="24" customFormat="1" ht="15">
      <c r="A527" s="119"/>
      <c r="B527" s="110"/>
      <c r="C527" s="89"/>
      <c r="D527" s="89"/>
      <c r="E527" s="89"/>
      <c r="F527" s="89"/>
      <c r="G527" s="23"/>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c r="AJ527" s="285"/>
      <c r="AK527" s="285"/>
    </row>
    <row r="528" spans="1:37" s="24" customFormat="1" ht="15">
      <c r="A528" s="119"/>
      <c r="B528" s="110"/>
      <c r="C528" s="89"/>
      <c r="D528" s="89"/>
      <c r="E528" s="89"/>
      <c r="F528" s="89"/>
      <c r="G528" s="23"/>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c r="AJ528" s="285"/>
      <c r="AK528" s="285"/>
    </row>
    <row r="529" spans="1:37" s="24" customFormat="1" ht="15">
      <c r="A529" s="119"/>
      <c r="B529" s="110"/>
      <c r="C529" s="89"/>
      <c r="D529" s="89"/>
      <c r="E529" s="89"/>
      <c r="F529" s="89"/>
      <c r="G529" s="23"/>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c r="AJ529" s="285"/>
      <c r="AK529" s="285"/>
    </row>
    <row r="530" spans="1:37" s="24" customFormat="1" ht="15">
      <c r="A530" s="119"/>
      <c r="B530" s="110"/>
      <c r="C530" s="89"/>
      <c r="D530" s="89"/>
      <c r="E530" s="89"/>
      <c r="F530" s="89"/>
      <c r="G530" s="23"/>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c r="AJ530" s="285"/>
      <c r="AK530" s="285"/>
    </row>
    <row r="531" spans="1:37" s="24" customFormat="1" ht="15">
      <c r="A531" s="119"/>
      <c r="B531" s="110"/>
      <c r="C531" s="89"/>
      <c r="D531" s="89"/>
      <c r="E531" s="89"/>
      <c r="F531" s="89"/>
      <c r="G531" s="23"/>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c r="AJ531" s="285"/>
      <c r="AK531" s="285"/>
    </row>
    <row r="532" spans="1:37" s="24" customFormat="1" ht="15">
      <c r="A532" s="119"/>
      <c r="B532" s="110"/>
      <c r="C532" s="89"/>
      <c r="D532" s="89"/>
      <c r="E532" s="89"/>
      <c r="F532" s="89"/>
      <c r="G532" s="23"/>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c r="AJ532" s="285"/>
      <c r="AK532" s="285"/>
    </row>
    <row r="533" spans="1:37" s="24" customFormat="1" ht="15">
      <c r="A533" s="119"/>
      <c r="B533" s="110"/>
      <c r="C533" s="89"/>
      <c r="D533" s="89"/>
      <c r="E533" s="89"/>
      <c r="F533" s="89"/>
      <c r="G533" s="23"/>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c r="AJ533" s="285"/>
      <c r="AK533" s="285"/>
    </row>
    <row r="534" spans="1:37" s="24" customFormat="1" ht="15">
      <c r="A534" s="119"/>
      <c r="B534" s="110"/>
      <c r="C534" s="89"/>
      <c r="D534" s="89"/>
      <c r="E534" s="89"/>
      <c r="F534" s="89"/>
      <c r="G534" s="23"/>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c r="AJ534" s="285"/>
      <c r="AK534" s="285"/>
    </row>
    <row r="535" spans="1:37" s="24" customFormat="1" ht="15">
      <c r="A535" s="119"/>
      <c r="B535" s="110"/>
      <c r="C535" s="89"/>
      <c r="D535" s="89"/>
      <c r="E535" s="89"/>
      <c r="F535" s="89"/>
      <c r="G535" s="23"/>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c r="AJ535" s="285"/>
      <c r="AK535" s="285"/>
    </row>
    <row r="536" spans="1:37" s="24" customFormat="1" ht="15">
      <c r="A536" s="119"/>
      <c r="B536" s="110"/>
      <c r="C536" s="89"/>
      <c r="D536" s="89"/>
      <c r="E536" s="89"/>
      <c r="F536" s="89"/>
      <c r="G536" s="23"/>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c r="AJ536" s="285"/>
      <c r="AK536" s="285"/>
    </row>
    <row r="537" spans="1:37" s="24" customFormat="1" ht="15">
      <c r="A537" s="119"/>
      <c r="B537" s="110"/>
      <c r="C537" s="89"/>
      <c r="D537" s="89"/>
      <c r="E537" s="89"/>
      <c r="F537" s="89"/>
      <c r="G537" s="23"/>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c r="AJ537" s="285"/>
      <c r="AK537" s="285"/>
    </row>
    <row r="538" spans="1:37" s="24" customFormat="1" ht="15">
      <c r="A538" s="119"/>
      <c r="B538" s="110"/>
      <c r="C538" s="89"/>
      <c r="D538" s="89"/>
      <c r="E538" s="89"/>
      <c r="F538" s="89"/>
      <c r="G538" s="23"/>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c r="AJ538" s="285"/>
      <c r="AK538" s="285"/>
    </row>
    <row r="539" spans="1:37" s="24" customFormat="1" ht="15">
      <c r="A539" s="119"/>
      <c r="B539" s="110"/>
      <c r="C539" s="89"/>
      <c r="D539" s="89"/>
      <c r="E539" s="89"/>
      <c r="F539" s="89"/>
      <c r="G539" s="23"/>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c r="AJ539" s="285"/>
      <c r="AK539" s="285"/>
    </row>
    <row r="540" spans="1:37" s="24" customFormat="1" ht="15">
      <c r="A540" s="119"/>
      <c r="B540" s="110"/>
      <c r="C540" s="89"/>
      <c r="D540" s="89"/>
      <c r="E540" s="89"/>
      <c r="F540" s="89"/>
      <c r="G540" s="23"/>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c r="AJ540" s="285"/>
      <c r="AK540" s="285"/>
    </row>
    <row r="541" spans="1:37" s="24" customFormat="1" ht="15">
      <c r="A541" s="119"/>
      <c r="B541" s="110"/>
      <c r="C541" s="89"/>
      <c r="D541" s="89"/>
      <c r="E541" s="89"/>
      <c r="F541" s="89"/>
      <c r="G541" s="23"/>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c r="AJ541" s="285"/>
      <c r="AK541" s="285"/>
    </row>
    <row r="542" spans="1:37" s="24" customFormat="1" ht="15">
      <c r="A542" s="119"/>
      <c r="B542" s="110"/>
      <c r="C542" s="89"/>
      <c r="D542" s="89"/>
      <c r="E542" s="89"/>
      <c r="F542" s="89"/>
      <c r="G542" s="23"/>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c r="AJ542" s="285"/>
      <c r="AK542" s="285"/>
    </row>
    <row r="543" spans="1:37" s="24" customFormat="1" ht="15">
      <c r="A543" s="119"/>
      <c r="B543" s="110"/>
      <c r="C543" s="89"/>
      <c r="D543" s="89"/>
      <c r="E543" s="89"/>
      <c r="F543" s="89"/>
      <c r="G543" s="23"/>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c r="AJ543" s="285"/>
      <c r="AK543" s="285"/>
    </row>
    <row r="544" spans="1:37" s="24" customFormat="1" ht="15">
      <c r="A544" s="119"/>
      <c r="B544" s="110"/>
      <c r="C544" s="89"/>
      <c r="D544" s="89"/>
      <c r="E544" s="89"/>
      <c r="F544" s="89"/>
      <c r="G544" s="23"/>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c r="AJ544" s="285"/>
      <c r="AK544" s="285"/>
    </row>
    <row r="545" spans="1:37" s="24" customFormat="1" ht="15">
      <c r="A545" s="119"/>
      <c r="B545" s="110"/>
      <c r="C545" s="89"/>
      <c r="D545" s="89"/>
      <c r="E545" s="89"/>
      <c r="F545" s="89"/>
      <c r="G545" s="23"/>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c r="AJ545" s="285"/>
      <c r="AK545" s="285"/>
    </row>
    <row r="546" spans="1:37" s="24" customFormat="1" ht="15">
      <c r="A546" s="119"/>
      <c r="B546" s="110"/>
      <c r="C546" s="89"/>
      <c r="D546" s="89"/>
      <c r="E546" s="89"/>
      <c r="F546" s="89"/>
      <c r="G546" s="23"/>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c r="AJ546" s="285"/>
      <c r="AK546" s="285"/>
    </row>
    <row r="547" spans="1:37" s="24" customFormat="1" ht="15">
      <c r="A547" s="119"/>
      <c r="B547" s="110"/>
      <c r="C547" s="89"/>
      <c r="D547" s="89"/>
      <c r="E547" s="89"/>
      <c r="F547" s="89"/>
      <c r="G547" s="23"/>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c r="AJ547" s="285"/>
      <c r="AK547" s="285"/>
    </row>
    <row r="548" spans="1:37" s="24" customFormat="1" ht="15">
      <c r="A548" s="119"/>
      <c r="B548" s="110"/>
      <c r="C548" s="89"/>
      <c r="D548" s="89"/>
      <c r="E548" s="89"/>
      <c r="F548" s="89"/>
      <c r="G548" s="23"/>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c r="AJ548" s="285"/>
      <c r="AK548" s="285"/>
    </row>
    <row r="549" spans="1:37" s="24" customFormat="1" ht="15">
      <c r="A549" s="119"/>
      <c r="B549" s="110"/>
      <c r="C549" s="89"/>
      <c r="D549" s="89"/>
      <c r="E549" s="89"/>
      <c r="F549" s="89"/>
      <c r="G549" s="23"/>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c r="AJ549" s="285"/>
      <c r="AK549" s="285"/>
    </row>
    <row r="550" spans="1:37" s="24" customFormat="1" ht="15">
      <c r="A550" s="119"/>
      <c r="B550" s="110"/>
      <c r="C550" s="89"/>
      <c r="D550" s="89"/>
      <c r="E550" s="89"/>
      <c r="F550" s="89"/>
      <c r="G550" s="23"/>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c r="AJ550" s="285"/>
      <c r="AK550" s="285"/>
    </row>
    <row r="551" spans="1:37" s="24" customFormat="1" ht="15">
      <c r="A551" s="119"/>
      <c r="B551" s="110"/>
      <c r="C551" s="89"/>
      <c r="D551" s="89"/>
      <c r="E551" s="89"/>
      <c r="F551" s="89"/>
      <c r="G551" s="23"/>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c r="AJ551" s="285"/>
      <c r="AK551" s="285"/>
    </row>
    <row r="552" spans="1:37" s="24" customFormat="1" ht="15">
      <c r="A552" s="119"/>
      <c r="B552" s="110"/>
      <c r="C552" s="89"/>
      <c r="D552" s="89"/>
      <c r="E552" s="89"/>
      <c r="F552" s="89"/>
      <c r="G552" s="23"/>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c r="AJ552" s="285"/>
      <c r="AK552" s="285"/>
    </row>
    <row r="553" spans="1:37" s="24" customFormat="1" ht="15">
      <c r="A553" s="119"/>
      <c r="B553" s="110"/>
      <c r="C553" s="89"/>
      <c r="D553" s="89"/>
      <c r="E553" s="89"/>
      <c r="F553" s="89"/>
      <c r="G553" s="23"/>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c r="AJ553" s="285"/>
      <c r="AK553" s="285"/>
    </row>
    <row r="554" spans="1:37" s="24" customFormat="1" ht="15">
      <c r="A554" s="119"/>
      <c r="B554" s="110"/>
      <c r="C554" s="89"/>
      <c r="D554" s="89"/>
      <c r="E554" s="89"/>
      <c r="F554" s="89"/>
      <c r="G554" s="23"/>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5"/>
      <c r="AK554" s="285"/>
    </row>
    <row r="555" spans="1:37" s="24" customFormat="1" ht="15">
      <c r="A555" s="119"/>
      <c r="B555" s="110"/>
      <c r="C555" s="89"/>
      <c r="D555" s="89"/>
      <c r="E555" s="89"/>
      <c r="F555" s="89"/>
      <c r="G555" s="23"/>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c r="AJ555" s="285"/>
      <c r="AK555" s="285"/>
    </row>
    <row r="556" spans="1:37" s="24" customFormat="1" ht="15">
      <c r="A556" s="119"/>
      <c r="B556" s="110"/>
      <c r="C556" s="89"/>
      <c r="D556" s="89"/>
      <c r="E556" s="89"/>
      <c r="F556" s="89"/>
      <c r="G556" s="23"/>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c r="AJ556" s="285"/>
      <c r="AK556" s="285"/>
    </row>
    <row r="557" spans="1:37" s="24" customFormat="1" ht="15">
      <c r="A557" s="119"/>
      <c r="B557" s="110"/>
      <c r="C557" s="89"/>
      <c r="D557" s="89"/>
      <c r="E557" s="89"/>
      <c r="F557" s="89"/>
      <c r="G557" s="23"/>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5"/>
      <c r="AK557" s="285"/>
    </row>
    <row r="558" spans="1:37" s="24" customFormat="1" ht="15">
      <c r="A558" s="119"/>
      <c r="B558" s="110"/>
      <c r="C558" s="89"/>
      <c r="D558" s="89"/>
      <c r="E558" s="89"/>
      <c r="F558" s="89"/>
      <c r="G558" s="23"/>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c r="AJ558" s="285"/>
      <c r="AK558" s="285"/>
    </row>
    <row r="559" spans="1:37" s="24" customFormat="1" ht="15">
      <c r="A559" s="119"/>
      <c r="B559" s="110"/>
      <c r="C559" s="89"/>
      <c r="D559" s="89"/>
      <c r="E559" s="89"/>
      <c r="F559" s="89"/>
      <c r="G559" s="23"/>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c r="AJ559" s="285"/>
      <c r="AK559" s="285"/>
    </row>
    <row r="560" spans="1:37" s="24" customFormat="1" ht="15">
      <c r="A560" s="119"/>
      <c r="B560" s="110"/>
      <c r="C560" s="89"/>
      <c r="D560" s="89"/>
      <c r="E560" s="89"/>
      <c r="F560" s="89"/>
      <c r="G560" s="23"/>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c r="AJ560" s="285"/>
      <c r="AK560" s="285"/>
    </row>
    <row r="561" spans="1:37" s="24" customFormat="1" ht="15">
      <c r="A561" s="119"/>
      <c r="B561" s="110"/>
      <c r="C561" s="89"/>
      <c r="D561" s="89"/>
      <c r="E561" s="89"/>
      <c r="F561" s="89"/>
      <c r="G561" s="23"/>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c r="AJ561" s="285"/>
      <c r="AK561" s="285"/>
    </row>
    <row r="562" spans="1:37" s="24" customFormat="1" ht="15">
      <c r="A562" s="119"/>
      <c r="B562" s="110"/>
      <c r="C562" s="89"/>
      <c r="D562" s="89"/>
      <c r="E562" s="89"/>
      <c r="F562" s="89"/>
      <c r="G562" s="23"/>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c r="AJ562" s="285"/>
      <c r="AK562" s="285"/>
    </row>
    <row r="563" spans="1:37" s="24" customFormat="1" ht="15">
      <c r="A563" s="119"/>
      <c r="B563" s="110"/>
      <c r="C563" s="89"/>
      <c r="D563" s="89"/>
      <c r="E563" s="89"/>
      <c r="F563" s="89"/>
      <c r="G563" s="23"/>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c r="AJ563" s="285"/>
      <c r="AK563" s="285"/>
    </row>
    <row r="564" spans="1:37" s="24" customFormat="1" ht="15">
      <c r="A564" s="119"/>
      <c r="B564" s="110"/>
      <c r="C564" s="89"/>
      <c r="D564" s="89"/>
      <c r="E564" s="89"/>
      <c r="F564" s="89"/>
      <c r="G564" s="23"/>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5"/>
      <c r="AK564" s="285"/>
    </row>
    <row r="565" spans="1:37" s="24" customFormat="1" ht="15">
      <c r="A565" s="119"/>
      <c r="B565" s="110"/>
      <c r="C565" s="89"/>
      <c r="D565" s="89"/>
      <c r="E565" s="89"/>
      <c r="F565" s="89"/>
      <c r="G565" s="23"/>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c r="AJ565" s="285"/>
      <c r="AK565" s="285"/>
    </row>
    <row r="566" spans="1:37" s="24" customFormat="1" ht="15">
      <c r="A566" s="119"/>
      <c r="B566" s="110"/>
      <c r="C566" s="89"/>
      <c r="D566" s="89"/>
      <c r="E566" s="89"/>
      <c r="F566" s="89"/>
      <c r="G566" s="23"/>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c r="AJ566" s="285"/>
      <c r="AK566" s="285"/>
    </row>
    <row r="567" spans="1:37" s="24" customFormat="1" ht="15">
      <c r="A567" s="119"/>
      <c r="B567" s="110"/>
      <c r="C567" s="89"/>
      <c r="D567" s="89"/>
      <c r="E567" s="89"/>
      <c r="F567" s="89"/>
      <c r="G567" s="23"/>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c r="AJ567" s="285"/>
      <c r="AK567" s="285"/>
    </row>
    <row r="568" spans="1:37" s="24" customFormat="1" ht="15">
      <c r="A568" s="119"/>
      <c r="B568" s="110"/>
      <c r="C568" s="89"/>
      <c r="D568" s="89"/>
      <c r="E568" s="89"/>
      <c r="F568" s="89"/>
      <c r="G568" s="23"/>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c r="AJ568" s="285"/>
      <c r="AK568" s="285"/>
    </row>
    <row r="569" spans="1:37" s="24" customFormat="1" ht="15">
      <c r="A569" s="119"/>
      <c r="B569" s="110"/>
      <c r="C569" s="89"/>
      <c r="D569" s="89"/>
      <c r="E569" s="89"/>
      <c r="F569" s="89"/>
      <c r="G569" s="23"/>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c r="AJ569" s="285"/>
      <c r="AK569" s="285"/>
    </row>
    <row r="570" spans="1:37" s="24" customFormat="1" ht="15">
      <c r="A570" s="119"/>
      <c r="B570" s="110"/>
      <c r="C570" s="89"/>
      <c r="D570" s="89"/>
      <c r="E570" s="89"/>
      <c r="F570" s="89"/>
      <c r="G570" s="23"/>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c r="AJ570" s="285"/>
      <c r="AK570" s="285"/>
    </row>
    <row r="571" spans="1:37" s="24" customFormat="1" ht="15">
      <c r="A571" s="119"/>
      <c r="B571" s="110"/>
      <c r="C571" s="89"/>
      <c r="D571" s="89"/>
      <c r="E571" s="89"/>
      <c r="F571" s="89"/>
      <c r="G571" s="23"/>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c r="AJ571" s="285"/>
      <c r="AK571" s="285"/>
    </row>
    <row r="572" spans="1:37" s="24" customFormat="1" ht="15">
      <c r="A572" s="119"/>
      <c r="B572" s="110"/>
      <c r="C572" s="89"/>
      <c r="D572" s="89"/>
      <c r="E572" s="89"/>
      <c r="F572" s="89"/>
      <c r="G572" s="23"/>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c r="AJ572" s="285"/>
      <c r="AK572" s="285"/>
    </row>
    <row r="573" spans="1:37" s="24" customFormat="1" ht="15">
      <c r="A573" s="119"/>
      <c r="B573" s="110"/>
      <c r="C573" s="89"/>
      <c r="D573" s="89"/>
      <c r="E573" s="89"/>
      <c r="F573" s="89"/>
      <c r="G573" s="23"/>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c r="AJ573" s="285"/>
      <c r="AK573" s="285"/>
    </row>
    <row r="574" spans="1:37" s="24" customFormat="1" ht="15">
      <c r="A574" s="119"/>
      <c r="B574" s="110"/>
      <c r="C574" s="89"/>
      <c r="D574" s="89"/>
      <c r="E574" s="89"/>
      <c r="F574" s="89"/>
      <c r="G574" s="23"/>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c r="AJ574" s="285"/>
      <c r="AK574" s="285"/>
    </row>
    <row r="575" spans="1:37" s="24" customFormat="1" ht="15">
      <c r="A575" s="119"/>
      <c r="B575" s="110"/>
      <c r="C575" s="89"/>
      <c r="D575" s="89"/>
      <c r="E575" s="89"/>
      <c r="F575" s="89"/>
      <c r="G575" s="23"/>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c r="AJ575" s="285"/>
      <c r="AK575" s="285"/>
    </row>
    <row r="576" spans="1:37" s="24" customFormat="1" ht="15">
      <c r="A576" s="119"/>
      <c r="B576" s="110"/>
      <c r="C576" s="89"/>
      <c r="D576" s="89"/>
      <c r="E576" s="89"/>
      <c r="F576" s="89"/>
      <c r="G576" s="23"/>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c r="AJ576" s="285"/>
      <c r="AK576" s="285"/>
    </row>
    <row r="577" spans="1:37" s="24" customFormat="1" ht="15">
      <c r="A577" s="119"/>
      <c r="B577" s="110"/>
      <c r="C577" s="89"/>
      <c r="D577" s="89"/>
      <c r="E577" s="89"/>
      <c r="F577" s="89"/>
      <c r="G577" s="23"/>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c r="AJ577" s="285"/>
      <c r="AK577" s="285"/>
    </row>
    <row r="578" spans="1:37" s="24" customFormat="1" ht="15">
      <c r="A578" s="119"/>
      <c r="B578" s="110"/>
      <c r="C578" s="89"/>
      <c r="D578" s="89"/>
      <c r="E578" s="89"/>
      <c r="F578" s="89"/>
      <c r="G578" s="23"/>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c r="AJ578" s="285"/>
      <c r="AK578" s="285"/>
    </row>
    <row r="579" spans="1:37" s="24" customFormat="1" ht="15">
      <c r="A579" s="119"/>
      <c r="B579" s="110"/>
      <c r="C579" s="89"/>
      <c r="D579" s="89"/>
      <c r="E579" s="89"/>
      <c r="F579" s="89"/>
      <c r="G579" s="23"/>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c r="AJ579" s="285"/>
      <c r="AK579" s="285"/>
    </row>
    <row r="580" spans="1:37" s="24" customFormat="1" ht="15">
      <c r="A580" s="119"/>
      <c r="B580" s="110"/>
      <c r="C580" s="89"/>
      <c r="D580" s="89"/>
      <c r="E580" s="89"/>
      <c r="F580" s="89"/>
      <c r="G580" s="23"/>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c r="AJ580" s="285"/>
      <c r="AK580" s="285"/>
    </row>
    <row r="581" spans="1:37" s="24" customFormat="1" ht="15">
      <c r="A581" s="119"/>
      <c r="B581" s="110"/>
      <c r="C581" s="89"/>
      <c r="D581" s="89"/>
      <c r="E581" s="89"/>
      <c r="F581" s="89"/>
      <c r="G581" s="23"/>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c r="AJ581" s="285"/>
      <c r="AK581" s="285"/>
    </row>
    <row r="582" spans="1:37" s="24" customFormat="1" ht="15">
      <c r="A582" s="119"/>
      <c r="B582" s="110"/>
      <c r="C582" s="89"/>
      <c r="D582" s="89"/>
      <c r="E582" s="89"/>
      <c r="F582" s="89"/>
      <c r="G582" s="23"/>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c r="AJ582" s="285"/>
      <c r="AK582" s="285"/>
    </row>
    <row r="583" spans="1:37" s="24" customFormat="1" ht="15">
      <c r="A583" s="119"/>
      <c r="B583" s="110"/>
      <c r="C583" s="89"/>
      <c r="D583" s="89"/>
      <c r="E583" s="89"/>
      <c r="F583" s="89"/>
      <c r="G583" s="23"/>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c r="AJ583" s="285"/>
      <c r="AK583" s="285"/>
    </row>
    <row r="584" spans="1:37" s="24" customFormat="1" ht="15">
      <c r="A584" s="119"/>
      <c r="B584" s="110"/>
      <c r="C584" s="89"/>
      <c r="D584" s="89"/>
      <c r="E584" s="89"/>
      <c r="F584" s="89"/>
      <c r="G584" s="23"/>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c r="AJ584" s="285"/>
      <c r="AK584" s="285"/>
    </row>
    <row r="585" spans="1:37" s="24" customFormat="1" ht="15">
      <c r="A585" s="119"/>
      <c r="B585" s="110"/>
      <c r="C585" s="89"/>
      <c r="D585" s="89"/>
      <c r="E585" s="89"/>
      <c r="F585" s="89"/>
      <c r="G585" s="23"/>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c r="AJ585" s="285"/>
      <c r="AK585" s="285"/>
    </row>
    <row r="586" spans="1:37" s="24" customFormat="1" ht="15">
      <c r="A586" s="119"/>
      <c r="B586" s="110"/>
      <c r="C586" s="89"/>
      <c r="D586" s="89"/>
      <c r="E586" s="89"/>
      <c r="F586" s="89"/>
      <c r="G586" s="23"/>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c r="AJ586" s="285"/>
      <c r="AK586" s="285"/>
    </row>
    <row r="587" spans="1:37" s="24" customFormat="1" ht="15">
      <c r="A587" s="119"/>
      <c r="B587" s="110"/>
      <c r="C587" s="89"/>
      <c r="D587" s="89"/>
      <c r="E587" s="89"/>
      <c r="F587" s="89"/>
      <c r="G587" s="23"/>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c r="AJ587" s="285"/>
      <c r="AK587" s="285"/>
    </row>
    <row r="588" spans="1:37" s="24" customFormat="1" ht="15">
      <c r="A588" s="119"/>
      <c r="B588" s="110"/>
      <c r="C588" s="89"/>
      <c r="D588" s="89"/>
      <c r="E588" s="89"/>
      <c r="F588" s="89"/>
      <c r="G588" s="23"/>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c r="AJ588" s="285"/>
      <c r="AK588" s="285"/>
    </row>
    <row r="589" spans="1:37" s="24" customFormat="1" ht="15">
      <c r="A589" s="119"/>
      <c r="B589" s="110"/>
      <c r="C589" s="89"/>
      <c r="D589" s="89"/>
      <c r="E589" s="89"/>
      <c r="F589" s="89"/>
      <c r="G589" s="23"/>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5"/>
      <c r="AK589" s="285"/>
    </row>
    <row r="590" spans="1:37" s="24" customFormat="1" ht="15">
      <c r="A590" s="119"/>
      <c r="B590" s="110"/>
      <c r="C590" s="89"/>
      <c r="D590" s="89"/>
      <c r="E590" s="89"/>
      <c r="F590" s="89"/>
      <c r="G590" s="23"/>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c r="AJ590" s="285"/>
      <c r="AK590" s="285"/>
    </row>
    <row r="591" spans="1:37" s="24" customFormat="1" ht="15">
      <c r="A591" s="119"/>
      <c r="B591" s="110"/>
      <c r="C591" s="89"/>
      <c r="D591" s="89"/>
      <c r="E591" s="89"/>
      <c r="F591" s="89"/>
      <c r="G591" s="23"/>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c r="AJ591" s="285"/>
      <c r="AK591" s="285"/>
    </row>
    <row r="592" spans="1:37" s="24" customFormat="1" ht="15">
      <c r="A592" s="119"/>
      <c r="B592" s="110"/>
      <c r="C592" s="89"/>
      <c r="D592" s="89"/>
      <c r="E592" s="89"/>
      <c r="F592" s="89"/>
      <c r="G592" s="23"/>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c r="AJ592" s="285"/>
      <c r="AK592" s="285"/>
    </row>
    <row r="593" spans="1:37" s="24" customFormat="1" ht="15">
      <c r="A593" s="119"/>
      <c r="B593" s="110"/>
      <c r="C593" s="89"/>
      <c r="D593" s="89"/>
      <c r="E593" s="89"/>
      <c r="F593" s="89"/>
      <c r="G593" s="23"/>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5"/>
      <c r="AK593" s="285"/>
    </row>
    <row r="594" spans="1:37" s="24" customFormat="1" ht="15">
      <c r="A594" s="119"/>
      <c r="B594" s="110"/>
      <c r="C594" s="89"/>
      <c r="D594" s="89"/>
      <c r="E594" s="89"/>
      <c r="F594" s="89"/>
      <c r="G594" s="23"/>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5"/>
      <c r="AK594" s="285"/>
    </row>
    <row r="595" spans="1:37" s="24" customFormat="1" ht="15">
      <c r="A595" s="119"/>
      <c r="B595" s="110"/>
      <c r="C595" s="89"/>
      <c r="D595" s="89"/>
      <c r="E595" s="89"/>
      <c r="F595" s="89"/>
      <c r="G595" s="23"/>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c r="AJ595" s="285"/>
      <c r="AK595" s="285"/>
    </row>
    <row r="596" spans="1:37" s="24" customFormat="1" ht="15">
      <c r="A596" s="119"/>
      <c r="B596" s="110"/>
      <c r="C596" s="89"/>
      <c r="D596" s="89"/>
      <c r="E596" s="89"/>
      <c r="F596" s="89"/>
      <c r="G596" s="23"/>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c r="AJ596" s="285"/>
      <c r="AK596" s="285"/>
    </row>
    <row r="597" spans="1:37" s="24" customFormat="1" ht="15">
      <c r="A597" s="119"/>
      <c r="B597" s="110"/>
      <c r="C597" s="89"/>
      <c r="D597" s="89"/>
      <c r="E597" s="89"/>
      <c r="F597" s="89"/>
      <c r="G597" s="23"/>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c r="AJ597" s="285"/>
      <c r="AK597" s="285"/>
    </row>
    <row r="598" spans="1:37" s="24" customFormat="1" ht="15">
      <c r="A598" s="119"/>
      <c r="B598" s="110"/>
      <c r="C598" s="89"/>
      <c r="D598" s="89"/>
      <c r="E598" s="89"/>
      <c r="F598" s="89"/>
      <c r="G598" s="23"/>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c r="AJ598" s="285"/>
      <c r="AK598" s="285"/>
    </row>
    <row r="599" spans="1:37" s="24" customFormat="1" ht="15">
      <c r="A599" s="119"/>
      <c r="B599" s="110"/>
      <c r="C599" s="89"/>
      <c r="D599" s="89"/>
      <c r="E599" s="89"/>
      <c r="F599" s="89"/>
      <c r="G599" s="23"/>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c r="AJ599" s="285"/>
      <c r="AK599" s="285"/>
    </row>
    <row r="600" spans="1:37" s="24" customFormat="1" ht="15">
      <c r="A600" s="119"/>
      <c r="B600" s="110"/>
      <c r="C600" s="89"/>
      <c r="D600" s="89"/>
      <c r="E600" s="89"/>
      <c r="F600" s="89"/>
      <c r="G600" s="23"/>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c r="AJ600" s="285"/>
      <c r="AK600" s="285"/>
    </row>
    <row r="601" spans="1:37" s="24" customFormat="1" ht="15">
      <c r="A601" s="119"/>
      <c r="B601" s="110"/>
      <c r="C601" s="89"/>
      <c r="D601" s="89"/>
      <c r="E601" s="89"/>
      <c r="F601" s="89"/>
      <c r="G601" s="23"/>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c r="AJ601" s="285"/>
      <c r="AK601" s="285"/>
    </row>
    <row r="602" spans="1:37" s="24" customFormat="1" ht="15">
      <c r="A602" s="119"/>
      <c r="B602" s="110"/>
      <c r="C602" s="89"/>
      <c r="D602" s="89"/>
      <c r="E602" s="89"/>
      <c r="F602" s="89"/>
      <c r="G602" s="23"/>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c r="AJ602" s="285"/>
      <c r="AK602" s="285"/>
    </row>
    <row r="603" spans="1:37" s="24" customFormat="1" ht="15">
      <c r="A603" s="119"/>
      <c r="B603" s="110"/>
      <c r="C603" s="89"/>
      <c r="D603" s="89"/>
      <c r="E603" s="89"/>
      <c r="F603" s="89"/>
      <c r="G603" s="23"/>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c r="AJ603" s="285"/>
      <c r="AK603" s="285"/>
    </row>
    <row r="604" spans="1:37" s="24" customFormat="1" ht="15">
      <c r="A604" s="119"/>
      <c r="B604" s="110"/>
      <c r="C604" s="89"/>
      <c r="D604" s="89"/>
      <c r="E604" s="89"/>
      <c r="F604" s="89"/>
      <c r="G604" s="23"/>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c r="AJ604" s="285"/>
      <c r="AK604" s="285"/>
    </row>
    <row r="605" spans="1:37" s="24" customFormat="1" ht="15">
      <c r="A605" s="119"/>
      <c r="B605" s="110"/>
      <c r="C605" s="89"/>
      <c r="D605" s="89"/>
      <c r="E605" s="89"/>
      <c r="F605" s="89"/>
      <c r="G605" s="23"/>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c r="AJ605" s="285"/>
      <c r="AK605" s="285"/>
    </row>
    <row r="606" spans="1:37" s="24" customFormat="1" ht="15">
      <c r="A606" s="119"/>
      <c r="B606" s="110"/>
      <c r="C606" s="89"/>
      <c r="D606" s="89"/>
      <c r="E606" s="89"/>
      <c r="F606" s="89"/>
      <c r="G606" s="23"/>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c r="AJ606" s="285"/>
      <c r="AK606" s="285"/>
    </row>
    <row r="607" spans="1:37" s="24" customFormat="1" ht="15">
      <c r="A607" s="119"/>
      <c r="B607" s="110"/>
      <c r="C607" s="89"/>
      <c r="D607" s="89"/>
      <c r="E607" s="89"/>
      <c r="F607" s="89"/>
      <c r="G607" s="23"/>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c r="AJ607" s="285"/>
      <c r="AK607" s="285"/>
    </row>
    <row r="608" spans="1:37" s="24" customFormat="1" ht="15">
      <c r="A608" s="119"/>
      <c r="B608" s="110"/>
      <c r="C608" s="89"/>
      <c r="D608" s="89"/>
      <c r="E608" s="89"/>
      <c r="F608" s="89"/>
      <c r="G608" s="23"/>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c r="AJ608" s="285"/>
      <c r="AK608" s="285"/>
    </row>
    <row r="609" spans="1:37" s="24" customFormat="1" ht="15">
      <c r="A609" s="119"/>
      <c r="B609" s="110"/>
      <c r="C609" s="89"/>
      <c r="D609" s="89"/>
      <c r="E609" s="89"/>
      <c r="F609" s="89"/>
      <c r="G609" s="23"/>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c r="AJ609" s="285"/>
      <c r="AK609" s="285"/>
    </row>
    <row r="610" spans="1:37" s="24" customFormat="1" ht="15">
      <c r="A610" s="119"/>
      <c r="B610" s="110"/>
      <c r="C610" s="89"/>
      <c r="D610" s="89"/>
      <c r="E610" s="89"/>
      <c r="F610" s="89"/>
      <c r="G610" s="23"/>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c r="AJ610" s="285"/>
      <c r="AK610" s="285"/>
    </row>
    <row r="611" spans="1:37" s="24" customFormat="1" ht="15">
      <c r="A611" s="119"/>
      <c r="B611" s="110"/>
      <c r="C611" s="89"/>
      <c r="D611" s="89"/>
      <c r="E611" s="89"/>
      <c r="F611" s="89"/>
      <c r="G611" s="23"/>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c r="AJ611" s="285"/>
      <c r="AK611" s="285"/>
    </row>
    <row r="612" spans="1:37" s="24" customFormat="1" ht="15">
      <c r="A612" s="119"/>
      <c r="B612" s="110"/>
      <c r="C612" s="89"/>
      <c r="D612" s="89"/>
      <c r="E612" s="89"/>
      <c r="F612" s="89"/>
      <c r="G612" s="23"/>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5"/>
      <c r="AK612" s="285"/>
    </row>
    <row r="613" spans="1:37" s="24" customFormat="1" ht="15">
      <c r="A613" s="119"/>
      <c r="B613" s="110"/>
      <c r="C613" s="89"/>
      <c r="D613" s="89"/>
      <c r="E613" s="89"/>
      <c r="F613" s="89"/>
      <c r="G613" s="23"/>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c r="AJ613" s="285"/>
      <c r="AK613" s="285"/>
    </row>
    <row r="614" spans="1:37" s="24" customFormat="1" ht="15">
      <c r="A614" s="119"/>
      <c r="B614" s="110"/>
      <c r="C614" s="89"/>
      <c r="D614" s="89"/>
      <c r="E614" s="89"/>
      <c r="F614" s="89"/>
      <c r="G614" s="23"/>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c r="AJ614" s="285"/>
      <c r="AK614" s="285"/>
    </row>
    <row r="615" spans="1:37" s="24" customFormat="1" ht="15">
      <c r="A615" s="119"/>
      <c r="B615" s="110"/>
      <c r="C615" s="89"/>
      <c r="D615" s="89"/>
      <c r="E615" s="89"/>
      <c r="F615" s="89"/>
      <c r="G615" s="23"/>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c r="AJ615" s="285"/>
      <c r="AK615" s="285"/>
    </row>
    <row r="616" spans="1:37" s="24" customFormat="1" ht="15">
      <c r="A616" s="119"/>
      <c r="B616" s="110"/>
      <c r="C616" s="89"/>
      <c r="D616" s="89"/>
      <c r="E616" s="89"/>
      <c r="F616" s="89"/>
      <c r="G616" s="23"/>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c r="AJ616" s="285"/>
      <c r="AK616" s="285"/>
    </row>
    <row r="617" spans="1:37" s="24" customFormat="1" ht="15">
      <c r="A617" s="119"/>
      <c r="B617" s="110"/>
      <c r="C617" s="89"/>
      <c r="D617" s="89"/>
      <c r="E617" s="89"/>
      <c r="F617" s="89"/>
      <c r="G617" s="23"/>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c r="AJ617" s="285"/>
      <c r="AK617" s="285"/>
    </row>
    <row r="618" spans="1:37" s="24" customFormat="1" ht="15">
      <c r="A618" s="119"/>
      <c r="B618" s="110"/>
      <c r="C618" s="89"/>
      <c r="D618" s="89"/>
      <c r="E618" s="89"/>
      <c r="F618" s="89"/>
      <c r="G618" s="23"/>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c r="AJ618" s="285"/>
      <c r="AK618" s="285"/>
    </row>
    <row r="619" spans="1:37" s="24" customFormat="1" ht="15">
      <c r="A619" s="119"/>
      <c r="B619" s="110"/>
      <c r="C619" s="89"/>
      <c r="D619" s="89"/>
      <c r="E619" s="89"/>
      <c r="F619" s="89"/>
      <c r="G619" s="23"/>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c r="AJ619" s="285"/>
      <c r="AK619" s="285"/>
    </row>
    <row r="620" spans="1:37" s="24" customFormat="1" ht="15">
      <c r="A620" s="119"/>
      <c r="B620" s="110"/>
      <c r="C620" s="89"/>
      <c r="D620" s="89"/>
      <c r="E620" s="89"/>
      <c r="F620" s="89"/>
      <c r="G620" s="23"/>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c r="AJ620" s="285"/>
      <c r="AK620" s="285"/>
    </row>
    <row r="621" spans="1:37" s="24" customFormat="1" ht="15">
      <c r="A621" s="119"/>
      <c r="B621" s="110"/>
      <c r="C621" s="89"/>
      <c r="D621" s="89"/>
      <c r="E621" s="89"/>
      <c r="F621" s="89"/>
      <c r="G621" s="23"/>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c r="AJ621" s="285"/>
      <c r="AK621" s="285"/>
    </row>
    <row r="622" spans="1:37" s="24" customFormat="1" ht="15">
      <c r="A622" s="119"/>
      <c r="B622" s="110"/>
      <c r="C622" s="89"/>
      <c r="D622" s="89"/>
      <c r="E622" s="89"/>
      <c r="F622" s="89"/>
      <c r="G622" s="23"/>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c r="AJ622" s="285"/>
      <c r="AK622" s="285"/>
    </row>
    <row r="623" spans="1:37" s="24" customFormat="1" ht="15">
      <c r="A623" s="119"/>
      <c r="B623" s="110"/>
      <c r="C623" s="89"/>
      <c r="D623" s="89"/>
      <c r="E623" s="89"/>
      <c r="F623" s="89"/>
      <c r="G623" s="23"/>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c r="AJ623" s="285"/>
      <c r="AK623" s="285"/>
    </row>
    <row r="624" spans="1:37" s="24" customFormat="1" ht="15">
      <c r="A624" s="119"/>
      <c r="B624" s="110"/>
      <c r="C624" s="89"/>
      <c r="D624" s="89"/>
      <c r="E624" s="89"/>
      <c r="F624" s="89"/>
      <c r="G624" s="23"/>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5"/>
      <c r="AK624" s="285"/>
    </row>
    <row r="625" spans="1:37" s="24" customFormat="1" ht="15">
      <c r="A625" s="119"/>
      <c r="B625" s="110"/>
      <c r="C625" s="89"/>
      <c r="D625" s="89"/>
      <c r="E625" s="89"/>
      <c r="F625" s="89"/>
      <c r="G625" s="23"/>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c r="AJ625" s="285"/>
      <c r="AK625" s="285"/>
    </row>
    <row r="626" spans="1:37" s="24" customFormat="1" ht="15">
      <c r="A626" s="119"/>
      <c r="B626" s="110"/>
      <c r="C626" s="89"/>
      <c r="D626" s="89"/>
      <c r="E626" s="89"/>
      <c r="F626" s="89"/>
      <c r="G626" s="23"/>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c r="AJ626" s="285"/>
      <c r="AK626" s="285"/>
    </row>
    <row r="627" spans="1:37" s="24" customFormat="1" ht="15">
      <c r="A627" s="119"/>
      <c r="B627" s="110"/>
      <c r="C627" s="89"/>
      <c r="D627" s="89"/>
      <c r="E627" s="89"/>
      <c r="F627" s="89"/>
      <c r="G627" s="23"/>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c r="AJ627" s="285"/>
      <c r="AK627" s="285"/>
    </row>
    <row r="628" spans="1:37" s="24" customFormat="1" ht="15">
      <c r="A628" s="119"/>
      <c r="B628" s="110"/>
      <c r="C628" s="89"/>
      <c r="D628" s="89"/>
      <c r="E628" s="89"/>
      <c r="F628" s="89"/>
      <c r="G628" s="23"/>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c r="AJ628" s="285"/>
      <c r="AK628" s="285"/>
    </row>
    <row r="629" spans="1:37" s="24" customFormat="1" ht="15">
      <c r="A629" s="119"/>
      <c r="B629" s="110"/>
      <c r="C629" s="89"/>
      <c r="D629" s="89"/>
      <c r="E629" s="89"/>
      <c r="F629" s="89"/>
      <c r="G629" s="23"/>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c r="AJ629" s="285"/>
      <c r="AK629" s="285"/>
    </row>
    <row r="630" spans="1:37" s="24" customFormat="1" ht="15">
      <c r="A630" s="119"/>
      <c r="B630" s="110"/>
      <c r="C630" s="89"/>
      <c r="D630" s="89"/>
      <c r="E630" s="89"/>
      <c r="F630" s="89"/>
      <c r="G630" s="23"/>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c r="AJ630" s="285"/>
      <c r="AK630" s="285"/>
    </row>
    <row r="631" spans="1:37" s="24" customFormat="1" ht="15">
      <c r="A631" s="119"/>
      <c r="B631" s="110"/>
      <c r="C631" s="89"/>
      <c r="D631" s="89"/>
      <c r="E631" s="89"/>
      <c r="F631" s="89"/>
      <c r="G631" s="23"/>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c r="AJ631" s="285"/>
      <c r="AK631" s="285"/>
    </row>
    <row r="632" spans="1:37" s="24" customFormat="1" ht="15">
      <c r="A632" s="119"/>
      <c r="B632" s="110"/>
      <c r="C632" s="89"/>
      <c r="D632" s="89"/>
      <c r="E632" s="89"/>
      <c r="F632" s="89"/>
      <c r="G632" s="23"/>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c r="AJ632" s="285"/>
      <c r="AK632" s="285"/>
    </row>
    <row r="633" spans="1:37" s="24" customFormat="1" ht="15">
      <c r="A633" s="119"/>
      <c r="B633" s="110"/>
      <c r="C633" s="89"/>
      <c r="D633" s="89"/>
      <c r="E633" s="89"/>
      <c r="F633" s="89"/>
      <c r="G633" s="23"/>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c r="AJ633" s="285"/>
      <c r="AK633" s="285"/>
    </row>
    <row r="634" spans="1:37" s="24" customFormat="1" ht="15">
      <c r="A634" s="119"/>
      <c r="B634" s="110"/>
      <c r="C634" s="89"/>
      <c r="D634" s="89"/>
      <c r="E634" s="89"/>
      <c r="F634" s="89"/>
      <c r="G634" s="23"/>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c r="AJ634" s="285"/>
      <c r="AK634" s="285"/>
    </row>
    <row r="635" spans="1:37" s="24" customFormat="1" ht="15">
      <c r="A635" s="119"/>
      <c r="B635" s="110"/>
      <c r="C635" s="89"/>
      <c r="D635" s="89"/>
      <c r="E635" s="89"/>
      <c r="F635" s="89"/>
      <c r="G635" s="23"/>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c r="AJ635" s="285"/>
      <c r="AK635" s="285"/>
    </row>
    <row r="636" spans="1:37" s="24" customFormat="1" ht="15">
      <c r="A636" s="119"/>
      <c r="B636" s="110"/>
      <c r="C636" s="89"/>
      <c r="D636" s="89"/>
      <c r="E636" s="89"/>
      <c r="F636" s="89"/>
      <c r="G636" s="23"/>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c r="AJ636" s="285"/>
      <c r="AK636" s="285"/>
    </row>
    <row r="637" spans="1:37" s="24" customFormat="1" ht="15">
      <c r="A637" s="119"/>
      <c r="B637" s="110"/>
      <c r="C637" s="89"/>
      <c r="D637" s="89"/>
      <c r="E637" s="89"/>
      <c r="F637" s="89"/>
      <c r="G637" s="23"/>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c r="AJ637" s="285"/>
      <c r="AK637" s="285"/>
    </row>
    <row r="638" spans="1:37" s="24" customFormat="1" ht="15">
      <c r="A638" s="119"/>
      <c r="B638" s="110"/>
      <c r="C638" s="89"/>
      <c r="D638" s="89"/>
      <c r="E638" s="89"/>
      <c r="F638" s="89"/>
      <c r="G638" s="23"/>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c r="AJ638" s="285"/>
      <c r="AK638" s="285"/>
    </row>
    <row r="639" spans="1:37" s="24" customFormat="1" ht="15">
      <c r="A639" s="119"/>
      <c r="B639" s="110"/>
      <c r="C639" s="89"/>
      <c r="D639" s="89"/>
      <c r="E639" s="89"/>
      <c r="F639" s="89"/>
      <c r="G639" s="23"/>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c r="AJ639" s="285"/>
      <c r="AK639" s="285"/>
    </row>
    <row r="640" spans="1:37" s="24" customFormat="1" ht="15">
      <c r="A640" s="119"/>
      <c r="B640" s="110"/>
      <c r="C640" s="89"/>
      <c r="D640" s="89"/>
      <c r="E640" s="89"/>
      <c r="F640" s="89"/>
      <c r="G640" s="23"/>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c r="AJ640" s="285"/>
      <c r="AK640" s="285"/>
    </row>
    <row r="641" spans="1:37" s="24" customFormat="1" ht="15">
      <c r="A641" s="119"/>
      <c r="B641" s="110"/>
      <c r="C641" s="89"/>
      <c r="D641" s="89"/>
      <c r="E641" s="89"/>
      <c r="F641" s="89"/>
      <c r="G641" s="23"/>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c r="AJ641" s="285"/>
      <c r="AK641" s="285"/>
    </row>
    <row r="642" spans="1:37" s="24" customFormat="1" ht="15">
      <c r="A642" s="119"/>
      <c r="B642" s="110"/>
      <c r="C642" s="89"/>
      <c r="D642" s="89"/>
      <c r="E642" s="89"/>
      <c r="F642" s="89"/>
      <c r="G642" s="23"/>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c r="AJ642" s="285"/>
      <c r="AK642" s="285"/>
    </row>
    <row r="643" spans="1:37" s="24" customFormat="1" ht="15">
      <c r="A643" s="119"/>
      <c r="B643" s="110"/>
      <c r="C643" s="89"/>
      <c r="D643" s="89"/>
      <c r="E643" s="89"/>
      <c r="F643" s="89"/>
      <c r="G643" s="23"/>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c r="AJ643" s="285"/>
      <c r="AK643" s="285"/>
    </row>
    <row r="644" spans="1:37" s="24" customFormat="1" ht="15">
      <c r="A644" s="119"/>
      <c r="B644" s="110"/>
      <c r="C644" s="89"/>
      <c r="D644" s="89"/>
      <c r="E644" s="89"/>
      <c r="F644" s="89"/>
      <c r="G644" s="23"/>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c r="AJ644" s="285"/>
      <c r="AK644" s="285"/>
    </row>
    <row r="645" spans="1:37" s="24" customFormat="1" ht="15">
      <c r="A645" s="119"/>
      <c r="B645" s="110"/>
      <c r="C645" s="89"/>
      <c r="D645" s="89"/>
      <c r="E645" s="89"/>
      <c r="F645" s="89"/>
      <c r="G645" s="23"/>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c r="AJ645" s="285"/>
      <c r="AK645" s="285"/>
    </row>
    <row r="646" spans="1:37" s="24" customFormat="1" ht="15">
      <c r="A646" s="119"/>
      <c r="B646" s="110"/>
      <c r="C646" s="89"/>
      <c r="D646" s="89"/>
      <c r="E646" s="89"/>
      <c r="F646" s="89"/>
      <c r="G646" s="23"/>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c r="AJ646" s="285"/>
      <c r="AK646" s="285"/>
    </row>
    <row r="647" spans="1:37" s="24" customFormat="1" ht="15">
      <c r="A647" s="119"/>
      <c r="B647" s="110"/>
      <c r="C647" s="89"/>
      <c r="D647" s="89"/>
      <c r="E647" s="89"/>
      <c r="F647" s="89"/>
      <c r="G647" s="23"/>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c r="AJ647" s="285"/>
      <c r="AK647" s="285"/>
    </row>
    <row r="648" spans="1:37" s="24" customFormat="1" ht="15">
      <c r="A648" s="119"/>
      <c r="B648" s="110"/>
      <c r="C648" s="89"/>
      <c r="D648" s="89"/>
      <c r="E648" s="89"/>
      <c r="F648" s="89"/>
      <c r="G648" s="23"/>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c r="AJ648" s="285"/>
      <c r="AK648" s="285"/>
    </row>
    <row r="649" spans="1:37" s="24" customFormat="1" ht="15">
      <c r="A649" s="119"/>
      <c r="B649" s="110"/>
      <c r="C649" s="89"/>
      <c r="D649" s="89"/>
      <c r="E649" s="89"/>
      <c r="F649" s="89"/>
      <c r="G649" s="23"/>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c r="AJ649" s="285"/>
      <c r="AK649" s="285"/>
    </row>
    <row r="650" spans="1:37" s="24" customFormat="1" ht="15">
      <c r="A650" s="119"/>
      <c r="B650" s="110"/>
      <c r="C650" s="89"/>
      <c r="D650" s="89"/>
      <c r="E650" s="89"/>
      <c r="F650" s="89"/>
      <c r="G650" s="23"/>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c r="AJ650" s="285"/>
      <c r="AK650" s="285"/>
    </row>
    <row r="651" spans="1:37" s="24" customFormat="1" ht="15">
      <c r="A651" s="119"/>
      <c r="B651" s="110"/>
      <c r="C651" s="89"/>
      <c r="D651" s="89"/>
      <c r="E651" s="89"/>
      <c r="F651" s="89"/>
      <c r="G651" s="23"/>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c r="AJ651" s="285"/>
      <c r="AK651" s="285"/>
    </row>
    <row r="652" spans="1:37" s="24" customFormat="1" ht="15">
      <c r="A652" s="119"/>
      <c r="B652" s="110"/>
      <c r="C652" s="89"/>
      <c r="D652" s="89"/>
      <c r="E652" s="89"/>
      <c r="F652" s="89"/>
      <c r="G652" s="23"/>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c r="AJ652" s="285"/>
      <c r="AK652" s="285"/>
    </row>
    <row r="653" spans="1:37" s="24" customFormat="1" ht="15">
      <c r="A653" s="119"/>
      <c r="B653" s="110"/>
      <c r="C653" s="89"/>
      <c r="D653" s="89"/>
      <c r="E653" s="89"/>
      <c r="F653" s="89"/>
      <c r="G653" s="23"/>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c r="AJ653" s="285"/>
      <c r="AK653" s="285"/>
    </row>
    <row r="654" spans="1:37" s="24" customFormat="1" ht="15">
      <c r="A654" s="119"/>
      <c r="B654" s="110"/>
      <c r="C654" s="89"/>
      <c r="D654" s="89"/>
      <c r="E654" s="89"/>
      <c r="F654" s="89"/>
      <c r="G654" s="23"/>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c r="AJ654" s="285"/>
      <c r="AK654" s="285"/>
    </row>
    <row r="655" spans="1:37" s="24" customFormat="1" ht="15">
      <c r="A655" s="119"/>
      <c r="B655" s="110"/>
      <c r="C655" s="89"/>
      <c r="D655" s="89"/>
      <c r="E655" s="89"/>
      <c r="F655" s="89"/>
      <c r="G655" s="23"/>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c r="AJ655" s="285"/>
      <c r="AK655" s="285"/>
    </row>
    <row r="656" spans="1:37" s="24" customFormat="1" ht="15">
      <c r="A656" s="119"/>
      <c r="B656" s="110"/>
      <c r="C656" s="89"/>
      <c r="D656" s="89"/>
      <c r="E656" s="89"/>
      <c r="F656" s="89"/>
      <c r="G656" s="23"/>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c r="AJ656" s="285"/>
      <c r="AK656" s="285"/>
    </row>
    <row r="657" spans="1:37" s="24" customFormat="1" ht="15">
      <c r="A657" s="119"/>
      <c r="B657" s="110"/>
      <c r="C657" s="89"/>
      <c r="D657" s="89"/>
      <c r="E657" s="89"/>
      <c r="F657" s="89"/>
      <c r="G657" s="23"/>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c r="AJ657" s="285"/>
      <c r="AK657" s="285"/>
    </row>
    <row r="658" spans="1:37" s="24" customFormat="1" ht="15">
      <c r="A658" s="119"/>
      <c r="B658" s="110"/>
      <c r="C658" s="89"/>
      <c r="D658" s="89"/>
      <c r="E658" s="89"/>
      <c r="F658" s="89"/>
      <c r="G658" s="23"/>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c r="AJ658" s="285"/>
      <c r="AK658" s="285"/>
    </row>
    <row r="659" spans="1:37" s="24" customFormat="1" ht="15">
      <c r="A659" s="119"/>
      <c r="B659" s="110"/>
      <c r="C659" s="89"/>
      <c r="D659" s="89"/>
      <c r="E659" s="89"/>
      <c r="F659" s="89"/>
      <c r="G659" s="23"/>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5"/>
      <c r="AK659" s="285"/>
    </row>
    <row r="660" spans="1:37" s="24" customFormat="1" ht="15">
      <c r="A660" s="119"/>
      <c r="B660" s="110"/>
      <c r="C660" s="89"/>
      <c r="D660" s="89"/>
      <c r="E660" s="89"/>
      <c r="F660" s="89"/>
      <c r="G660" s="23"/>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c r="AJ660" s="285"/>
      <c r="AK660" s="285"/>
    </row>
    <row r="661" spans="1:37" s="24" customFormat="1" ht="15">
      <c r="A661" s="119"/>
      <c r="B661" s="110"/>
      <c r="C661" s="89"/>
      <c r="D661" s="89"/>
      <c r="E661" s="89"/>
      <c r="F661" s="89"/>
      <c r="G661" s="23"/>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c r="AJ661" s="285"/>
      <c r="AK661" s="285"/>
    </row>
    <row r="662" spans="1:37" s="24" customFormat="1" ht="15">
      <c r="A662" s="119"/>
      <c r="B662" s="110"/>
      <c r="C662" s="89"/>
      <c r="D662" s="89"/>
      <c r="E662" s="89"/>
      <c r="F662" s="89"/>
      <c r="G662" s="23"/>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c r="AJ662" s="285"/>
      <c r="AK662" s="285"/>
    </row>
    <row r="663" spans="1:37" s="24" customFormat="1" ht="15">
      <c r="A663" s="119"/>
      <c r="B663" s="110"/>
      <c r="C663" s="89"/>
      <c r="D663" s="89"/>
      <c r="E663" s="89"/>
      <c r="F663" s="89"/>
      <c r="G663" s="23"/>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c r="AJ663" s="285"/>
      <c r="AK663" s="285"/>
    </row>
    <row r="664" spans="1:37" s="24" customFormat="1" ht="15">
      <c r="A664" s="119"/>
      <c r="B664" s="110"/>
      <c r="C664" s="89"/>
      <c r="D664" s="89"/>
      <c r="E664" s="89"/>
      <c r="F664" s="89"/>
      <c r="G664" s="23"/>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c r="AJ664" s="285"/>
      <c r="AK664" s="285"/>
    </row>
    <row r="665" spans="1:37" s="24" customFormat="1" ht="15">
      <c r="A665" s="119"/>
      <c r="B665" s="110"/>
      <c r="C665" s="89"/>
      <c r="D665" s="89"/>
      <c r="E665" s="89"/>
      <c r="F665" s="89"/>
      <c r="G665" s="23"/>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c r="AJ665" s="285"/>
      <c r="AK665" s="285"/>
    </row>
    <row r="666" spans="1:37" s="24" customFormat="1" ht="15">
      <c r="A666" s="119"/>
      <c r="B666" s="110"/>
      <c r="C666" s="89"/>
      <c r="D666" s="89"/>
      <c r="E666" s="89"/>
      <c r="F666" s="89"/>
      <c r="G666" s="23"/>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c r="AJ666" s="285"/>
      <c r="AK666" s="285"/>
    </row>
    <row r="667" spans="1:37" s="24" customFormat="1" ht="15">
      <c r="A667" s="119"/>
      <c r="B667" s="110"/>
      <c r="C667" s="89"/>
      <c r="D667" s="89"/>
      <c r="E667" s="89"/>
      <c r="F667" s="89"/>
      <c r="G667" s="23"/>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c r="AJ667" s="285"/>
      <c r="AK667" s="285"/>
    </row>
    <row r="668" spans="1:37" s="24" customFormat="1" ht="15">
      <c r="A668" s="119"/>
      <c r="B668" s="110"/>
      <c r="C668" s="89"/>
      <c r="D668" s="89"/>
      <c r="E668" s="89"/>
      <c r="F668" s="89"/>
      <c r="G668" s="23"/>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c r="AJ668" s="285"/>
      <c r="AK668" s="285"/>
    </row>
    <row r="669" spans="1:37" s="24" customFormat="1" ht="15">
      <c r="A669" s="119"/>
      <c r="B669" s="110"/>
      <c r="C669" s="89"/>
      <c r="D669" s="89"/>
      <c r="E669" s="89"/>
      <c r="F669" s="89"/>
      <c r="G669" s="23"/>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c r="AJ669" s="285"/>
      <c r="AK669" s="285"/>
    </row>
    <row r="670" spans="1:37" s="24" customFormat="1" ht="15">
      <c r="A670" s="119"/>
      <c r="B670" s="110"/>
      <c r="C670" s="89"/>
      <c r="D670" s="89"/>
      <c r="E670" s="89"/>
      <c r="F670" s="89"/>
      <c r="G670" s="23"/>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c r="AJ670" s="285"/>
      <c r="AK670" s="285"/>
    </row>
    <row r="671" spans="1:37" s="24" customFormat="1" ht="15">
      <c r="A671" s="119"/>
      <c r="B671" s="110"/>
      <c r="C671" s="89"/>
      <c r="D671" s="89"/>
      <c r="E671" s="89"/>
      <c r="F671" s="89"/>
      <c r="G671" s="23"/>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c r="AJ671" s="285"/>
      <c r="AK671" s="285"/>
    </row>
    <row r="672" spans="1:37" s="24" customFormat="1" ht="15">
      <c r="A672" s="119"/>
      <c r="B672" s="110"/>
      <c r="C672" s="89"/>
      <c r="D672" s="89"/>
      <c r="E672" s="89"/>
      <c r="F672" s="89"/>
      <c r="G672" s="23"/>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c r="AJ672" s="285"/>
      <c r="AK672" s="285"/>
    </row>
    <row r="673" spans="1:37" s="24" customFormat="1" ht="15">
      <c r="A673" s="119"/>
      <c r="B673" s="110"/>
      <c r="C673" s="89"/>
      <c r="D673" s="89"/>
      <c r="E673" s="89"/>
      <c r="F673" s="89"/>
      <c r="G673" s="23"/>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c r="AJ673" s="285"/>
      <c r="AK673" s="285"/>
    </row>
    <row r="674" spans="1:37" s="24" customFormat="1" ht="15">
      <c r="A674" s="119"/>
      <c r="B674" s="110"/>
      <c r="C674" s="89"/>
      <c r="D674" s="89"/>
      <c r="E674" s="89"/>
      <c r="F674" s="89"/>
      <c r="G674" s="23"/>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c r="AJ674" s="285"/>
      <c r="AK674" s="285"/>
    </row>
    <row r="675" spans="1:37" s="24" customFormat="1" ht="15">
      <c r="A675" s="119"/>
      <c r="B675" s="110"/>
      <c r="C675" s="89"/>
      <c r="D675" s="89"/>
      <c r="E675" s="89"/>
      <c r="F675" s="89"/>
      <c r="G675" s="23"/>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c r="AJ675" s="285"/>
      <c r="AK675" s="285"/>
    </row>
    <row r="676" spans="1:37" s="24" customFormat="1" ht="15">
      <c r="A676" s="119"/>
      <c r="B676" s="110"/>
      <c r="C676" s="89"/>
      <c r="D676" s="89"/>
      <c r="E676" s="89"/>
      <c r="F676" s="89"/>
      <c r="G676" s="23"/>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c r="AJ676" s="285"/>
      <c r="AK676" s="285"/>
    </row>
    <row r="677" spans="1:37" s="24" customFormat="1" ht="15">
      <c r="A677" s="119"/>
      <c r="B677" s="110"/>
      <c r="C677" s="89"/>
      <c r="D677" s="89"/>
      <c r="E677" s="89"/>
      <c r="F677" s="89"/>
      <c r="G677" s="23"/>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c r="AJ677" s="285"/>
      <c r="AK677" s="285"/>
    </row>
    <row r="678" spans="1:37" s="24" customFormat="1" ht="15">
      <c r="A678" s="119"/>
      <c r="B678" s="110"/>
      <c r="C678" s="89"/>
      <c r="D678" s="89"/>
      <c r="E678" s="89"/>
      <c r="F678" s="89"/>
      <c r="G678" s="23"/>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c r="AJ678" s="285"/>
      <c r="AK678" s="285"/>
    </row>
    <row r="679" spans="1:37" s="24" customFormat="1" ht="15">
      <c r="A679" s="119"/>
      <c r="B679" s="110"/>
      <c r="C679" s="89"/>
      <c r="D679" s="89"/>
      <c r="E679" s="89"/>
      <c r="F679" s="89"/>
      <c r="G679" s="23"/>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c r="AJ679" s="285"/>
      <c r="AK679" s="285"/>
    </row>
    <row r="680" spans="1:37" s="24" customFormat="1" ht="15">
      <c r="A680" s="119"/>
      <c r="B680" s="110"/>
      <c r="C680" s="89"/>
      <c r="D680" s="89"/>
      <c r="E680" s="89"/>
      <c r="F680" s="89"/>
      <c r="G680" s="23"/>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c r="AJ680" s="285"/>
      <c r="AK680" s="285"/>
    </row>
    <row r="681" spans="1:37" s="24" customFormat="1" ht="15">
      <c r="A681" s="119"/>
      <c r="B681" s="110"/>
      <c r="C681" s="89"/>
      <c r="D681" s="89"/>
      <c r="E681" s="89"/>
      <c r="F681" s="89"/>
      <c r="G681" s="23"/>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c r="AJ681" s="285"/>
      <c r="AK681" s="285"/>
    </row>
    <row r="682" spans="1:37" s="24" customFormat="1" ht="15">
      <c r="A682" s="119"/>
      <c r="B682" s="110"/>
      <c r="C682" s="89"/>
      <c r="D682" s="89"/>
      <c r="E682" s="89"/>
      <c r="F682" s="89"/>
      <c r="G682" s="23"/>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c r="AJ682" s="285"/>
      <c r="AK682" s="285"/>
    </row>
    <row r="683" spans="1:37" s="24" customFormat="1" ht="15">
      <c r="A683" s="119"/>
      <c r="B683" s="110"/>
      <c r="C683" s="89"/>
      <c r="D683" s="89"/>
      <c r="E683" s="89"/>
      <c r="F683" s="89"/>
      <c r="G683" s="23"/>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row>
    <row r="684" spans="1:37" s="24" customFormat="1" ht="15">
      <c r="A684" s="119"/>
      <c r="B684" s="110"/>
      <c r="C684" s="89"/>
      <c r="D684" s="89"/>
      <c r="E684" s="89"/>
      <c r="F684" s="89"/>
      <c r="G684" s="23"/>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row>
    <row r="685" spans="1:37" s="24" customFormat="1" ht="15">
      <c r="A685" s="119"/>
      <c r="B685" s="110"/>
      <c r="C685" s="89"/>
      <c r="D685" s="89"/>
      <c r="E685" s="89"/>
      <c r="F685" s="89"/>
      <c r="G685" s="23"/>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c r="AJ685" s="285"/>
      <c r="AK685" s="285"/>
    </row>
    <row r="686" spans="1:37" s="24" customFormat="1" ht="15">
      <c r="A686" s="119"/>
      <c r="B686" s="110"/>
      <c r="C686" s="89"/>
      <c r="D686" s="89"/>
      <c r="E686" s="89"/>
      <c r="F686" s="89"/>
      <c r="G686" s="23"/>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c r="AJ686" s="285"/>
      <c r="AK686" s="285"/>
    </row>
    <row r="687" spans="1:37" s="24" customFormat="1" ht="15">
      <c r="A687" s="119"/>
      <c r="B687" s="110"/>
      <c r="C687" s="89"/>
      <c r="D687" s="89"/>
      <c r="E687" s="89"/>
      <c r="F687" s="89"/>
      <c r="G687" s="23"/>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c r="AJ687" s="285"/>
      <c r="AK687" s="285"/>
    </row>
    <row r="688" spans="1:37" s="24" customFormat="1" ht="15">
      <c r="A688" s="119"/>
      <c r="B688" s="110"/>
      <c r="C688" s="89"/>
      <c r="D688" s="89"/>
      <c r="E688" s="89"/>
      <c r="F688" s="89"/>
      <c r="G688" s="23"/>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row>
    <row r="689" spans="1:37" s="24" customFormat="1" ht="15">
      <c r="A689" s="119"/>
      <c r="B689" s="110"/>
      <c r="C689" s="89"/>
      <c r="D689" s="89"/>
      <c r="E689" s="89"/>
      <c r="F689" s="89"/>
      <c r="G689" s="23"/>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c r="AJ689" s="285"/>
      <c r="AK689" s="285"/>
    </row>
    <row r="690" spans="1:37" s="24" customFormat="1" ht="15">
      <c r="A690" s="119"/>
      <c r="B690" s="110"/>
      <c r="C690" s="89"/>
      <c r="D690" s="89"/>
      <c r="E690" s="89"/>
      <c r="F690" s="89"/>
      <c r="G690" s="23"/>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c r="AJ690" s="285"/>
      <c r="AK690" s="285"/>
    </row>
    <row r="691" spans="1:37" s="24" customFormat="1" ht="15">
      <c r="A691" s="119"/>
      <c r="B691" s="110"/>
      <c r="C691" s="89"/>
      <c r="D691" s="89"/>
      <c r="E691" s="89"/>
      <c r="F691" s="89"/>
      <c r="G691" s="23"/>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5"/>
      <c r="AK691" s="285"/>
    </row>
    <row r="692" spans="1:37" s="24" customFormat="1" ht="15">
      <c r="A692" s="119"/>
      <c r="B692" s="110"/>
      <c r="C692" s="89"/>
      <c r="D692" s="89"/>
      <c r="E692" s="89"/>
      <c r="F692" s="89"/>
      <c r="G692" s="23"/>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row>
    <row r="693" spans="1:37" s="24" customFormat="1" ht="15">
      <c r="A693" s="119"/>
      <c r="B693" s="110"/>
      <c r="C693" s="89"/>
      <c r="D693" s="89"/>
      <c r="E693" s="89"/>
      <c r="F693" s="89"/>
      <c r="G693" s="23"/>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c r="AJ693" s="285"/>
      <c r="AK693" s="285"/>
    </row>
    <row r="694" spans="1:37" s="24" customFormat="1" ht="15">
      <c r="A694" s="119"/>
      <c r="B694" s="110"/>
      <c r="C694" s="89"/>
      <c r="D694" s="89"/>
      <c r="E694" s="89"/>
      <c r="F694" s="89"/>
      <c r="G694" s="23"/>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5"/>
      <c r="AK694" s="285"/>
    </row>
    <row r="695" spans="1:37" s="24" customFormat="1" ht="15">
      <c r="A695" s="119"/>
      <c r="B695" s="110"/>
      <c r="C695" s="89"/>
      <c r="D695" s="89"/>
      <c r="E695" s="89"/>
      <c r="F695" s="89"/>
      <c r="G695" s="23"/>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c r="AJ695" s="285"/>
      <c r="AK695" s="285"/>
    </row>
    <row r="696" spans="1:37" s="24" customFormat="1" ht="15">
      <c r="A696" s="119"/>
      <c r="B696" s="110"/>
      <c r="C696" s="89"/>
      <c r="D696" s="89"/>
      <c r="E696" s="89"/>
      <c r="F696" s="89"/>
      <c r="G696" s="23"/>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c r="AJ696" s="285"/>
      <c r="AK696" s="285"/>
    </row>
    <row r="697" spans="1:37" s="24" customFormat="1" ht="15">
      <c r="A697" s="119"/>
      <c r="B697" s="110"/>
      <c r="C697" s="89"/>
      <c r="D697" s="89"/>
      <c r="E697" s="89"/>
      <c r="F697" s="89"/>
      <c r="G697" s="23"/>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c r="AJ697" s="285"/>
      <c r="AK697" s="285"/>
    </row>
    <row r="698" spans="1:37" s="24" customFormat="1" ht="15">
      <c r="A698" s="119"/>
      <c r="B698" s="110"/>
      <c r="C698" s="89"/>
      <c r="D698" s="89"/>
      <c r="E698" s="89"/>
      <c r="F698" s="89"/>
      <c r="G698" s="23"/>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c r="AJ698" s="285"/>
      <c r="AK698" s="285"/>
    </row>
    <row r="699" spans="1:37" s="24" customFormat="1" ht="15">
      <c r="A699" s="119"/>
      <c r="B699" s="110"/>
      <c r="C699" s="89"/>
      <c r="D699" s="89"/>
      <c r="E699" s="89"/>
      <c r="F699" s="89"/>
      <c r="G699" s="23"/>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c r="AJ699" s="285"/>
      <c r="AK699" s="285"/>
    </row>
    <row r="700" spans="1:37" s="24" customFormat="1" ht="15">
      <c r="A700" s="119"/>
      <c r="B700" s="110"/>
      <c r="C700" s="89"/>
      <c r="D700" s="89"/>
      <c r="E700" s="89"/>
      <c r="F700" s="89"/>
      <c r="G700" s="23"/>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c r="AJ700" s="285"/>
      <c r="AK700" s="285"/>
    </row>
    <row r="701" spans="1:37" s="24" customFormat="1" ht="15">
      <c r="A701" s="119"/>
      <c r="B701" s="110"/>
      <c r="C701" s="89"/>
      <c r="D701" s="89"/>
      <c r="E701" s="89"/>
      <c r="F701" s="89"/>
      <c r="G701" s="23"/>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c r="AJ701" s="285"/>
      <c r="AK701" s="285"/>
    </row>
    <row r="702" spans="1:37" s="24" customFormat="1" ht="15">
      <c r="A702" s="119"/>
      <c r="B702" s="110"/>
      <c r="C702" s="89"/>
      <c r="D702" s="89"/>
      <c r="E702" s="89"/>
      <c r="F702" s="89"/>
      <c r="G702" s="23"/>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row>
    <row r="703" spans="1:37" s="24" customFormat="1" ht="15">
      <c r="A703" s="119"/>
      <c r="B703" s="110"/>
      <c r="C703" s="89"/>
      <c r="D703" s="89"/>
      <c r="E703" s="89"/>
      <c r="F703" s="89"/>
      <c r="G703" s="23"/>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c r="AJ703" s="285"/>
      <c r="AK703" s="285"/>
    </row>
    <row r="704" spans="1:37" s="24" customFormat="1" ht="15">
      <c r="A704" s="119"/>
      <c r="B704" s="110"/>
      <c r="C704" s="89"/>
      <c r="D704" s="89"/>
      <c r="E704" s="89"/>
      <c r="F704" s="89"/>
      <c r="G704" s="23"/>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c r="AJ704" s="285"/>
      <c r="AK704" s="285"/>
    </row>
    <row r="705" spans="1:37" s="24" customFormat="1" ht="15">
      <c r="A705" s="119"/>
      <c r="B705" s="110"/>
      <c r="C705" s="89"/>
      <c r="D705" s="89"/>
      <c r="E705" s="89"/>
      <c r="F705" s="89"/>
      <c r="G705" s="23"/>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c r="AJ705" s="285"/>
      <c r="AK705" s="285"/>
    </row>
    <row r="706" spans="1:37" s="24" customFormat="1" ht="15">
      <c r="A706" s="119"/>
      <c r="B706" s="110"/>
      <c r="C706" s="89"/>
      <c r="D706" s="89"/>
      <c r="E706" s="89"/>
      <c r="F706" s="89"/>
      <c r="G706" s="23"/>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c r="AJ706" s="285"/>
      <c r="AK706" s="285"/>
    </row>
    <row r="707" spans="1:37" s="24" customFormat="1" ht="15">
      <c r="A707" s="119"/>
      <c r="B707" s="110"/>
      <c r="C707" s="89"/>
      <c r="D707" s="89"/>
      <c r="E707" s="89"/>
      <c r="F707" s="89"/>
      <c r="G707" s="23"/>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c r="AJ707" s="285"/>
      <c r="AK707" s="285"/>
    </row>
    <row r="708" spans="1:37" s="24" customFormat="1" ht="15">
      <c r="A708" s="119"/>
      <c r="B708" s="110"/>
      <c r="C708" s="89"/>
      <c r="D708" s="89"/>
      <c r="E708" s="89"/>
      <c r="F708" s="89"/>
      <c r="G708" s="23"/>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c r="AJ708" s="285"/>
      <c r="AK708" s="285"/>
    </row>
    <row r="709" spans="1:37" s="24" customFormat="1" ht="15">
      <c r="A709" s="119"/>
      <c r="B709" s="110"/>
      <c r="C709" s="89"/>
      <c r="D709" s="89"/>
      <c r="E709" s="89"/>
      <c r="F709" s="89"/>
      <c r="G709" s="23"/>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c r="AJ709" s="285"/>
      <c r="AK709" s="285"/>
    </row>
    <row r="710" spans="1:37" s="24" customFormat="1" ht="15">
      <c r="A710" s="119"/>
      <c r="B710" s="110"/>
      <c r="C710" s="89"/>
      <c r="D710" s="89"/>
      <c r="E710" s="89"/>
      <c r="F710" s="89"/>
      <c r="G710" s="23"/>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row>
    <row r="711" spans="1:37" s="24" customFormat="1" ht="15">
      <c r="A711" s="119"/>
      <c r="B711" s="110"/>
      <c r="C711" s="89"/>
      <c r="D711" s="89"/>
      <c r="E711" s="89"/>
      <c r="F711" s="89"/>
      <c r="G711" s="23"/>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5"/>
      <c r="AK711" s="285"/>
    </row>
    <row r="712" spans="1:37" s="24" customFormat="1" ht="15">
      <c r="A712" s="119"/>
      <c r="B712" s="110"/>
      <c r="C712" s="89"/>
      <c r="D712" s="89"/>
      <c r="E712" s="89"/>
      <c r="F712" s="89"/>
      <c r="G712" s="23"/>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c r="AJ712" s="285"/>
      <c r="AK712" s="285"/>
    </row>
    <row r="713" spans="1:37" s="24" customFormat="1" ht="15">
      <c r="A713" s="119"/>
      <c r="B713" s="110"/>
      <c r="C713" s="89"/>
      <c r="D713" s="89"/>
      <c r="E713" s="89"/>
      <c r="F713" s="89"/>
      <c r="G713" s="23"/>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c r="AJ713" s="285"/>
      <c r="AK713" s="285"/>
    </row>
    <row r="714" spans="1:37" s="24" customFormat="1" ht="15">
      <c r="A714" s="119"/>
      <c r="B714" s="110"/>
      <c r="C714" s="89"/>
      <c r="D714" s="89"/>
      <c r="E714" s="89"/>
      <c r="F714" s="89"/>
      <c r="G714" s="23"/>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row>
    <row r="715" spans="1:37" s="24" customFormat="1" ht="15">
      <c r="A715" s="119"/>
      <c r="B715" s="110"/>
      <c r="C715" s="89"/>
      <c r="D715" s="89"/>
      <c r="E715" s="89"/>
      <c r="F715" s="89"/>
      <c r="G715" s="23"/>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c r="AJ715" s="285"/>
      <c r="AK715" s="285"/>
    </row>
    <row r="716" spans="1:37" s="24" customFormat="1" ht="15">
      <c r="A716" s="119"/>
      <c r="B716" s="110"/>
      <c r="C716" s="89"/>
      <c r="D716" s="89"/>
      <c r="E716" s="89"/>
      <c r="F716" s="89"/>
      <c r="G716" s="23"/>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c r="AJ716" s="285"/>
      <c r="AK716" s="285"/>
    </row>
    <row r="717" spans="1:37" s="24" customFormat="1" ht="15">
      <c r="A717" s="119"/>
      <c r="B717" s="110"/>
      <c r="C717" s="89"/>
      <c r="D717" s="89"/>
      <c r="E717" s="89"/>
      <c r="F717" s="89"/>
      <c r="G717" s="23"/>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c r="AJ717" s="285"/>
      <c r="AK717" s="285"/>
    </row>
    <row r="718" spans="1:37" s="24" customFormat="1" ht="15">
      <c r="A718" s="119"/>
      <c r="B718" s="110"/>
      <c r="C718" s="89"/>
      <c r="D718" s="89"/>
      <c r="E718" s="89"/>
      <c r="F718" s="89"/>
      <c r="G718" s="23"/>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c r="AJ718" s="285"/>
      <c r="AK718" s="285"/>
    </row>
    <row r="719" spans="1:37" s="24" customFormat="1" ht="15">
      <c r="A719" s="119"/>
      <c r="B719" s="110"/>
      <c r="C719" s="89"/>
      <c r="D719" s="89"/>
      <c r="E719" s="89"/>
      <c r="F719" s="89"/>
      <c r="G719" s="23"/>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c r="AJ719" s="285"/>
      <c r="AK719" s="285"/>
    </row>
    <row r="720" spans="1:37" s="24" customFormat="1" ht="15">
      <c r="A720" s="119"/>
      <c r="B720" s="110"/>
      <c r="C720" s="89"/>
      <c r="D720" s="89"/>
      <c r="E720" s="89"/>
      <c r="F720" s="89"/>
      <c r="G720" s="23"/>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c r="AJ720" s="285"/>
      <c r="AK720" s="285"/>
    </row>
    <row r="721" spans="1:37" s="24" customFormat="1" ht="15">
      <c r="A721" s="119"/>
      <c r="B721" s="110"/>
      <c r="C721" s="89"/>
      <c r="D721" s="89"/>
      <c r="E721" s="89"/>
      <c r="F721" s="89"/>
      <c r="G721" s="23"/>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5"/>
      <c r="AK721" s="285"/>
    </row>
    <row r="722" spans="1:37" s="24" customFormat="1" ht="15">
      <c r="A722" s="119"/>
      <c r="B722" s="110"/>
      <c r="C722" s="89"/>
      <c r="D722" s="89"/>
      <c r="E722" s="89"/>
      <c r="F722" s="89"/>
      <c r="G722" s="23"/>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c r="AJ722" s="285"/>
      <c r="AK722" s="285"/>
    </row>
    <row r="723" spans="1:37" s="24" customFormat="1" ht="15">
      <c r="A723" s="119"/>
      <c r="B723" s="110"/>
      <c r="C723" s="89"/>
      <c r="D723" s="89"/>
      <c r="E723" s="89"/>
      <c r="F723" s="89"/>
      <c r="G723" s="23"/>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row>
    <row r="724" spans="1:37" s="24" customFormat="1" ht="15">
      <c r="A724" s="119"/>
      <c r="B724" s="110"/>
      <c r="C724" s="89"/>
      <c r="D724" s="89"/>
      <c r="E724" s="89"/>
      <c r="F724" s="89"/>
      <c r="G724" s="23"/>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c r="AJ724" s="285"/>
      <c r="AK724" s="285"/>
    </row>
    <row r="725" spans="1:37" s="24" customFormat="1" ht="15">
      <c r="A725" s="119"/>
      <c r="B725" s="110"/>
      <c r="C725" s="89"/>
      <c r="D725" s="89"/>
      <c r="E725" s="89"/>
      <c r="F725" s="89"/>
      <c r="G725" s="23"/>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c r="AJ725" s="285"/>
      <c r="AK725" s="285"/>
    </row>
    <row r="726" spans="1:37" s="24" customFormat="1" ht="15">
      <c r="A726" s="119"/>
      <c r="B726" s="110"/>
      <c r="C726" s="89"/>
      <c r="D726" s="89"/>
      <c r="E726" s="89"/>
      <c r="F726" s="89"/>
      <c r="G726" s="23"/>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c r="AJ726" s="285"/>
      <c r="AK726" s="285"/>
    </row>
    <row r="727" spans="1:37" s="24" customFormat="1" ht="15">
      <c r="A727" s="119"/>
      <c r="B727" s="110"/>
      <c r="C727" s="89"/>
      <c r="D727" s="89"/>
      <c r="E727" s="89"/>
      <c r="F727" s="89"/>
      <c r="G727" s="23"/>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c r="AJ727" s="285"/>
      <c r="AK727" s="285"/>
    </row>
    <row r="728" spans="1:37" s="24" customFormat="1" ht="15">
      <c r="A728" s="119"/>
      <c r="B728" s="110"/>
      <c r="C728" s="89"/>
      <c r="D728" s="89"/>
      <c r="E728" s="89"/>
      <c r="F728" s="89"/>
      <c r="G728" s="23"/>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c r="AJ728" s="285"/>
      <c r="AK728" s="285"/>
    </row>
    <row r="729" spans="1:37" s="24" customFormat="1" ht="15">
      <c r="A729" s="119"/>
      <c r="B729" s="110"/>
      <c r="C729" s="89"/>
      <c r="D729" s="89"/>
      <c r="E729" s="89"/>
      <c r="F729" s="89"/>
      <c r="G729" s="23"/>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5"/>
      <c r="AK729" s="285"/>
    </row>
    <row r="730" spans="1:37" s="24" customFormat="1" ht="15">
      <c r="A730" s="119"/>
      <c r="B730" s="110"/>
      <c r="C730" s="89"/>
      <c r="D730" s="89"/>
      <c r="E730" s="89"/>
      <c r="F730" s="89"/>
      <c r="G730" s="23"/>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row>
    <row r="731" spans="1:37" s="24" customFormat="1" ht="15">
      <c r="A731" s="119"/>
      <c r="B731" s="110"/>
      <c r="C731" s="89"/>
      <c r="D731" s="89"/>
      <c r="E731" s="89"/>
      <c r="F731" s="89"/>
      <c r="G731" s="23"/>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c r="AJ731" s="285"/>
      <c r="AK731" s="285"/>
    </row>
    <row r="732" spans="1:37" s="24" customFormat="1" ht="15">
      <c r="A732" s="119"/>
      <c r="B732" s="110"/>
      <c r="C732" s="89"/>
      <c r="D732" s="89"/>
      <c r="E732" s="89"/>
      <c r="F732" s="89"/>
      <c r="G732" s="23"/>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c r="AJ732" s="285"/>
      <c r="AK732" s="285"/>
    </row>
    <row r="733" spans="1:37" s="24" customFormat="1" ht="15">
      <c r="A733" s="119"/>
      <c r="B733" s="110"/>
      <c r="C733" s="89"/>
      <c r="D733" s="89"/>
      <c r="E733" s="89"/>
      <c r="F733" s="89"/>
      <c r="G733" s="23"/>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c r="AJ733" s="285"/>
      <c r="AK733" s="285"/>
    </row>
    <row r="734" spans="1:37" s="24" customFormat="1" ht="15">
      <c r="A734" s="119"/>
      <c r="B734" s="110"/>
      <c r="C734" s="89"/>
      <c r="D734" s="89"/>
      <c r="E734" s="89"/>
      <c r="F734" s="89"/>
      <c r="G734" s="23"/>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c r="AJ734" s="285"/>
      <c r="AK734" s="285"/>
    </row>
    <row r="735" spans="1:37" s="24" customFormat="1" ht="15">
      <c r="A735" s="119"/>
      <c r="B735" s="110"/>
      <c r="C735" s="89"/>
      <c r="D735" s="89"/>
      <c r="E735" s="89"/>
      <c r="F735" s="89"/>
      <c r="G735" s="23"/>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c r="AJ735" s="285"/>
      <c r="AK735" s="285"/>
    </row>
    <row r="736" spans="1:37" s="24" customFormat="1" ht="15">
      <c r="A736" s="119"/>
      <c r="B736" s="110"/>
      <c r="C736" s="89"/>
      <c r="D736" s="89"/>
      <c r="E736" s="89"/>
      <c r="F736" s="89"/>
      <c r="G736" s="23"/>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row>
    <row r="737" spans="1:37" s="24" customFormat="1" ht="15">
      <c r="A737" s="119"/>
      <c r="B737" s="110"/>
      <c r="C737" s="89"/>
      <c r="D737" s="89"/>
      <c r="E737" s="89"/>
      <c r="F737" s="89"/>
      <c r="G737" s="23"/>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row>
    <row r="738" spans="1:37" s="24" customFormat="1" ht="15">
      <c r="A738" s="119"/>
      <c r="B738" s="110"/>
      <c r="C738" s="89"/>
      <c r="D738" s="89"/>
      <c r="E738" s="89"/>
      <c r="F738" s="89"/>
      <c r="G738" s="23"/>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c r="AJ738" s="285"/>
      <c r="AK738" s="285"/>
    </row>
    <row r="739" spans="1:37" s="24" customFormat="1" ht="15">
      <c r="A739" s="119"/>
      <c r="B739" s="110"/>
      <c r="C739" s="89"/>
      <c r="D739" s="89"/>
      <c r="E739" s="89"/>
      <c r="F739" s="89"/>
      <c r="G739" s="23"/>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c r="AJ739" s="285"/>
      <c r="AK739" s="285"/>
    </row>
    <row r="740" spans="1:37" s="24" customFormat="1" ht="15">
      <c r="A740" s="119"/>
      <c r="B740" s="110"/>
      <c r="C740" s="89"/>
      <c r="D740" s="89"/>
      <c r="E740" s="89"/>
      <c r="F740" s="89"/>
      <c r="G740" s="23"/>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c r="AJ740" s="285"/>
      <c r="AK740" s="285"/>
    </row>
    <row r="741" spans="1:37" s="24" customFormat="1" ht="15">
      <c r="A741" s="119"/>
      <c r="B741" s="110"/>
      <c r="C741" s="89"/>
      <c r="D741" s="89"/>
      <c r="E741" s="89"/>
      <c r="F741" s="89"/>
      <c r="G741" s="23"/>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c r="AJ741" s="285"/>
      <c r="AK741" s="285"/>
    </row>
    <row r="742" spans="1:37" s="24" customFormat="1" ht="15">
      <c r="A742" s="119"/>
      <c r="B742" s="110"/>
      <c r="C742" s="89"/>
      <c r="D742" s="89"/>
      <c r="E742" s="89"/>
      <c r="F742" s="89"/>
      <c r="G742" s="23"/>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c r="AJ742" s="285"/>
      <c r="AK742" s="285"/>
    </row>
    <row r="743" spans="1:37" s="24" customFormat="1" ht="15">
      <c r="A743" s="119"/>
      <c r="B743" s="110"/>
      <c r="C743" s="89"/>
      <c r="D743" s="89"/>
      <c r="E743" s="89"/>
      <c r="F743" s="89"/>
      <c r="G743" s="23"/>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c r="AJ743" s="285"/>
      <c r="AK743" s="285"/>
    </row>
    <row r="744" spans="1:37" s="24" customFormat="1" ht="15">
      <c r="A744" s="119"/>
      <c r="B744" s="110"/>
      <c r="C744" s="89"/>
      <c r="D744" s="89"/>
      <c r="E744" s="89"/>
      <c r="F744" s="89"/>
      <c r="G744" s="23"/>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c r="AJ744" s="285"/>
      <c r="AK744" s="285"/>
    </row>
    <row r="745" spans="1:37" s="24" customFormat="1" ht="15">
      <c r="A745" s="119"/>
      <c r="B745" s="110"/>
      <c r="C745" s="89"/>
      <c r="D745" s="89"/>
      <c r="E745" s="89"/>
      <c r="F745" s="89"/>
      <c r="G745" s="23"/>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row>
    <row r="746" spans="1:37" s="24" customFormat="1" ht="15">
      <c r="A746" s="119"/>
      <c r="B746" s="110"/>
      <c r="C746" s="89"/>
      <c r="D746" s="89"/>
      <c r="E746" s="89"/>
      <c r="F746" s="89"/>
      <c r="G746" s="23"/>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c r="AJ746" s="285"/>
      <c r="AK746" s="285"/>
    </row>
    <row r="747" spans="1:37" s="24" customFormat="1" ht="15">
      <c r="A747" s="119"/>
      <c r="B747" s="110"/>
      <c r="C747" s="89"/>
      <c r="D747" s="89"/>
      <c r="E747" s="89"/>
      <c r="F747" s="89"/>
      <c r="G747" s="23"/>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c r="AJ747" s="285"/>
      <c r="AK747" s="285"/>
    </row>
    <row r="748" spans="1:37" s="24" customFormat="1" ht="15">
      <c r="A748" s="119"/>
      <c r="B748" s="110"/>
      <c r="C748" s="89"/>
      <c r="D748" s="89"/>
      <c r="E748" s="89"/>
      <c r="F748" s="89"/>
      <c r="G748" s="23"/>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c r="AJ748" s="285"/>
      <c r="AK748" s="285"/>
    </row>
    <row r="749" spans="1:37" s="24" customFormat="1" ht="15">
      <c r="A749" s="119"/>
      <c r="B749" s="110"/>
      <c r="C749" s="89"/>
      <c r="D749" s="89"/>
      <c r="E749" s="89"/>
      <c r="F749" s="89"/>
      <c r="G749" s="23"/>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c r="AJ749" s="285"/>
      <c r="AK749" s="285"/>
    </row>
    <row r="750" spans="1:37" s="24" customFormat="1" ht="15">
      <c r="A750" s="119"/>
      <c r="B750" s="110"/>
      <c r="C750" s="89"/>
      <c r="D750" s="89"/>
      <c r="E750" s="89"/>
      <c r="F750" s="89"/>
      <c r="G750" s="23"/>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c r="AJ750" s="285"/>
      <c r="AK750" s="285"/>
    </row>
    <row r="751" spans="1:37" s="24" customFormat="1" ht="15">
      <c r="A751" s="119"/>
      <c r="B751" s="110"/>
      <c r="C751" s="89"/>
      <c r="D751" s="89"/>
      <c r="E751" s="89"/>
      <c r="F751" s="89"/>
      <c r="G751" s="23"/>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c r="AJ751" s="285"/>
      <c r="AK751" s="285"/>
    </row>
    <row r="752" spans="1:37" s="24" customFormat="1" ht="15">
      <c r="A752" s="119"/>
      <c r="B752" s="110"/>
      <c r="C752" s="89"/>
      <c r="D752" s="89"/>
      <c r="E752" s="89"/>
      <c r="F752" s="89"/>
      <c r="G752" s="23"/>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c r="AJ752" s="285"/>
      <c r="AK752" s="285"/>
    </row>
    <row r="753" spans="1:37" s="24" customFormat="1" ht="15">
      <c r="A753" s="119"/>
      <c r="B753" s="110"/>
      <c r="C753" s="89"/>
      <c r="D753" s="89"/>
      <c r="E753" s="89"/>
      <c r="F753" s="89"/>
      <c r="G753" s="23"/>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row>
    <row r="754" spans="1:37" s="24" customFormat="1" ht="15">
      <c r="A754" s="119"/>
      <c r="B754" s="110"/>
      <c r="C754" s="89"/>
      <c r="D754" s="89"/>
      <c r="E754" s="89"/>
      <c r="F754" s="89"/>
      <c r="G754" s="23"/>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c r="AJ754" s="285"/>
      <c r="AK754" s="285"/>
    </row>
    <row r="755" spans="1:37" s="24" customFormat="1" ht="15">
      <c r="A755" s="119"/>
      <c r="B755" s="110"/>
      <c r="C755" s="89"/>
      <c r="D755" s="89"/>
      <c r="E755" s="89"/>
      <c r="F755" s="89"/>
      <c r="G755" s="23"/>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c r="AJ755" s="285"/>
      <c r="AK755" s="285"/>
    </row>
    <row r="756" spans="1:37" s="24" customFormat="1" ht="15">
      <c r="A756" s="119"/>
      <c r="B756" s="110"/>
      <c r="C756" s="89"/>
      <c r="D756" s="89"/>
      <c r="E756" s="89"/>
      <c r="F756" s="89"/>
      <c r="G756" s="23"/>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c r="AJ756" s="285"/>
      <c r="AK756" s="285"/>
    </row>
    <row r="757" spans="1:37" s="24" customFormat="1" ht="15">
      <c r="A757" s="119"/>
      <c r="B757" s="110"/>
      <c r="C757" s="89"/>
      <c r="D757" s="89"/>
      <c r="E757" s="89"/>
      <c r="F757" s="89"/>
      <c r="G757" s="23"/>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c r="AJ757" s="285"/>
      <c r="AK757" s="285"/>
    </row>
    <row r="758" spans="1:37" s="24" customFormat="1" ht="15">
      <c r="A758" s="119"/>
      <c r="B758" s="110"/>
      <c r="C758" s="89"/>
      <c r="D758" s="89"/>
      <c r="E758" s="89"/>
      <c r="F758" s="89"/>
      <c r="G758" s="23"/>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c r="AJ758" s="285"/>
      <c r="AK758" s="285"/>
    </row>
    <row r="759" spans="1:37" s="24" customFormat="1" ht="15">
      <c r="A759" s="119"/>
      <c r="B759" s="110"/>
      <c r="C759" s="89"/>
      <c r="D759" s="89"/>
      <c r="E759" s="89"/>
      <c r="F759" s="89"/>
      <c r="G759" s="23"/>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c r="AJ759" s="285"/>
      <c r="AK759" s="285"/>
    </row>
    <row r="760" spans="1:37" s="24" customFormat="1" ht="15">
      <c r="A760" s="119"/>
      <c r="B760" s="110"/>
      <c r="C760" s="89"/>
      <c r="D760" s="89"/>
      <c r="E760" s="89"/>
      <c r="F760" s="89"/>
      <c r="G760" s="23"/>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row>
    <row r="761" spans="1:37" s="24" customFormat="1" ht="15">
      <c r="A761" s="119"/>
      <c r="B761" s="110"/>
      <c r="C761" s="89"/>
      <c r="D761" s="89"/>
      <c r="E761" s="89"/>
      <c r="F761" s="89"/>
      <c r="G761" s="23"/>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c r="AJ761" s="285"/>
      <c r="AK761" s="285"/>
    </row>
    <row r="762" spans="1:37" s="24" customFormat="1" ht="15">
      <c r="A762" s="119"/>
      <c r="B762" s="110"/>
      <c r="C762" s="89"/>
      <c r="D762" s="89"/>
      <c r="E762" s="89"/>
      <c r="F762" s="89"/>
      <c r="G762" s="23"/>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c r="AJ762" s="285"/>
      <c r="AK762" s="285"/>
    </row>
    <row r="763" spans="1:37" s="24" customFormat="1" ht="15">
      <c r="A763" s="119"/>
      <c r="B763" s="110"/>
      <c r="C763" s="89"/>
      <c r="D763" s="89"/>
      <c r="E763" s="89"/>
      <c r="F763" s="89"/>
      <c r="G763" s="23"/>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c r="AJ763" s="285"/>
      <c r="AK763" s="285"/>
    </row>
    <row r="764" spans="1:37" s="24" customFormat="1" ht="15">
      <c r="A764" s="119"/>
      <c r="B764" s="110"/>
      <c r="C764" s="89"/>
      <c r="D764" s="89"/>
      <c r="E764" s="89"/>
      <c r="F764" s="89"/>
      <c r="G764" s="23"/>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5"/>
      <c r="AK764" s="285"/>
    </row>
    <row r="765" spans="1:37" s="24" customFormat="1" ht="15">
      <c r="A765" s="119"/>
      <c r="B765" s="110"/>
      <c r="C765" s="89"/>
      <c r="D765" s="89"/>
      <c r="E765" s="89"/>
      <c r="F765" s="89"/>
      <c r="G765" s="23"/>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c r="AJ765" s="285"/>
      <c r="AK765" s="285"/>
    </row>
    <row r="766" spans="1:37" s="24" customFormat="1" ht="15">
      <c r="A766" s="119"/>
      <c r="B766" s="110"/>
      <c r="C766" s="89"/>
      <c r="D766" s="89"/>
      <c r="E766" s="89"/>
      <c r="F766" s="89"/>
      <c r="G766" s="23"/>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c r="AJ766" s="285"/>
      <c r="AK766" s="285"/>
    </row>
    <row r="767" spans="1:37" s="24" customFormat="1" ht="15">
      <c r="A767" s="119"/>
      <c r="B767" s="110"/>
      <c r="C767" s="89"/>
      <c r="D767" s="89"/>
      <c r="E767" s="89"/>
      <c r="F767" s="89"/>
      <c r="G767" s="23"/>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row>
    <row r="768" spans="1:37" s="24" customFormat="1" ht="15">
      <c r="A768" s="119"/>
      <c r="B768" s="110"/>
      <c r="C768" s="89"/>
      <c r="D768" s="89"/>
      <c r="E768" s="89"/>
      <c r="F768" s="89"/>
      <c r="G768" s="23"/>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c r="AJ768" s="285"/>
      <c r="AK768" s="285"/>
    </row>
    <row r="769" spans="1:37" s="24" customFormat="1" ht="15">
      <c r="A769" s="119"/>
      <c r="B769" s="110"/>
      <c r="C769" s="89"/>
      <c r="D769" s="89"/>
      <c r="E769" s="89"/>
      <c r="F769" s="89"/>
      <c r="G769" s="23"/>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c r="AJ769" s="285"/>
      <c r="AK769" s="285"/>
    </row>
    <row r="770" spans="1:37" s="24" customFormat="1" ht="15">
      <c r="A770" s="119"/>
      <c r="B770" s="110"/>
      <c r="C770" s="89"/>
      <c r="D770" s="89"/>
      <c r="E770" s="89"/>
      <c r="F770" s="89"/>
      <c r="G770" s="23"/>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c r="AJ770" s="285"/>
      <c r="AK770" s="285"/>
    </row>
    <row r="771" spans="1:37" s="24" customFormat="1" ht="15">
      <c r="A771" s="119"/>
      <c r="B771" s="110"/>
      <c r="C771" s="89"/>
      <c r="D771" s="89"/>
      <c r="E771" s="89"/>
      <c r="F771" s="89"/>
      <c r="G771" s="23"/>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c r="AJ771" s="285"/>
      <c r="AK771" s="285"/>
    </row>
    <row r="772" spans="1:37" s="24" customFormat="1" ht="15">
      <c r="A772" s="119"/>
      <c r="B772" s="110"/>
      <c r="C772" s="89"/>
      <c r="D772" s="89"/>
      <c r="E772" s="89"/>
      <c r="F772" s="89"/>
      <c r="G772" s="23"/>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c r="AJ772" s="285"/>
      <c r="AK772" s="285"/>
    </row>
    <row r="773" spans="1:37" s="24" customFormat="1" ht="15">
      <c r="A773" s="119"/>
      <c r="B773" s="110"/>
      <c r="C773" s="89"/>
      <c r="D773" s="89"/>
      <c r="E773" s="89"/>
      <c r="F773" s="89"/>
      <c r="G773" s="23"/>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c r="AJ773" s="285"/>
      <c r="AK773" s="285"/>
    </row>
    <row r="774" spans="1:37" s="24" customFormat="1" ht="15">
      <c r="A774" s="119"/>
      <c r="B774" s="110"/>
      <c r="C774" s="89"/>
      <c r="D774" s="89"/>
      <c r="E774" s="89"/>
      <c r="F774" s="89"/>
      <c r="G774" s="23"/>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c r="AJ774" s="285"/>
      <c r="AK774" s="285"/>
    </row>
    <row r="775" spans="1:37" s="24" customFormat="1" ht="15">
      <c r="A775" s="119"/>
      <c r="B775" s="110"/>
      <c r="C775" s="89"/>
      <c r="D775" s="89"/>
      <c r="E775" s="89"/>
      <c r="F775" s="89"/>
      <c r="G775" s="23"/>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c r="AJ775" s="285"/>
      <c r="AK775" s="285"/>
    </row>
    <row r="776" spans="1:37" s="24" customFormat="1" ht="15">
      <c r="A776" s="119"/>
      <c r="B776" s="110"/>
      <c r="C776" s="89"/>
      <c r="D776" s="89"/>
      <c r="E776" s="89"/>
      <c r="F776" s="89"/>
      <c r="G776" s="23"/>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c r="AJ776" s="285"/>
      <c r="AK776" s="285"/>
    </row>
    <row r="777" spans="1:37" s="24" customFormat="1" ht="15">
      <c r="A777" s="119"/>
      <c r="B777" s="110"/>
      <c r="C777" s="89"/>
      <c r="D777" s="89"/>
      <c r="E777" s="89"/>
      <c r="F777" s="89"/>
      <c r="G777" s="23"/>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c r="AJ777" s="285"/>
      <c r="AK777" s="285"/>
    </row>
    <row r="778" spans="1:37" s="24" customFormat="1" ht="15">
      <c r="A778" s="119"/>
      <c r="B778" s="110"/>
      <c r="C778" s="89"/>
      <c r="D778" s="89"/>
      <c r="E778" s="89"/>
      <c r="F778" s="89"/>
      <c r="G778" s="23"/>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c r="AJ778" s="285"/>
      <c r="AK778" s="285"/>
    </row>
    <row r="779" spans="1:37" s="24" customFormat="1" ht="15">
      <c r="A779" s="119"/>
      <c r="B779" s="110"/>
      <c r="C779" s="89"/>
      <c r="D779" s="89"/>
      <c r="E779" s="89"/>
      <c r="F779" s="89"/>
      <c r="G779" s="23"/>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c r="AJ779" s="285"/>
      <c r="AK779" s="285"/>
    </row>
    <row r="780" spans="1:37" s="24" customFormat="1" ht="15">
      <c r="A780" s="119"/>
      <c r="B780" s="110"/>
      <c r="C780" s="89"/>
      <c r="D780" s="89"/>
      <c r="E780" s="89"/>
      <c r="F780" s="89"/>
      <c r="G780" s="23"/>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c r="AJ780" s="285"/>
      <c r="AK780" s="285"/>
    </row>
    <row r="781" spans="1:37" s="24" customFormat="1" ht="15">
      <c r="A781" s="119"/>
      <c r="B781" s="110"/>
      <c r="C781" s="89"/>
      <c r="D781" s="89"/>
      <c r="E781" s="89"/>
      <c r="F781" s="89"/>
      <c r="G781" s="23"/>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c r="AJ781" s="285"/>
      <c r="AK781" s="285"/>
    </row>
    <row r="782" spans="1:37" s="24" customFormat="1" ht="15">
      <c r="A782" s="119"/>
      <c r="B782" s="110"/>
      <c r="C782" s="89"/>
      <c r="D782" s="89"/>
      <c r="E782" s="89"/>
      <c r="F782" s="89"/>
      <c r="G782" s="23"/>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c r="AJ782" s="285"/>
      <c r="AK782" s="285"/>
    </row>
    <row r="783" spans="1:37" s="24" customFormat="1" ht="15">
      <c r="A783" s="119"/>
      <c r="B783" s="110"/>
      <c r="C783" s="89"/>
      <c r="D783" s="89"/>
      <c r="E783" s="89"/>
      <c r="F783" s="89"/>
      <c r="G783" s="23"/>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c r="AJ783" s="285"/>
      <c r="AK783" s="285"/>
    </row>
    <row r="784" spans="1:37" s="24" customFormat="1" ht="15">
      <c r="A784" s="119"/>
      <c r="B784" s="110"/>
      <c r="C784" s="89"/>
      <c r="D784" s="89"/>
      <c r="E784" s="89"/>
      <c r="F784" s="89"/>
      <c r="G784" s="23"/>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c r="AJ784" s="285"/>
      <c r="AK784" s="285"/>
    </row>
    <row r="785" spans="1:37" s="24" customFormat="1" ht="15">
      <c r="A785" s="119"/>
      <c r="B785" s="110"/>
      <c r="C785" s="89"/>
      <c r="D785" s="89"/>
      <c r="E785" s="89"/>
      <c r="F785" s="89"/>
      <c r="G785" s="23"/>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c r="AJ785" s="285"/>
      <c r="AK785" s="285"/>
    </row>
    <row r="786" spans="1:37" s="24" customFormat="1" ht="15">
      <c r="A786" s="119"/>
      <c r="B786" s="110"/>
      <c r="C786" s="89"/>
      <c r="D786" s="89"/>
      <c r="E786" s="89"/>
      <c r="F786" s="89"/>
      <c r="G786" s="23"/>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c r="AJ786" s="285"/>
      <c r="AK786" s="285"/>
    </row>
    <row r="787" spans="1:37" s="24" customFormat="1" ht="15">
      <c r="A787" s="119"/>
      <c r="B787" s="110"/>
      <c r="C787" s="89"/>
      <c r="D787" s="89"/>
      <c r="E787" s="89"/>
      <c r="F787" s="89"/>
      <c r="G787" s="23"/>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c r="AJ787" s="285"/>
      <c r="AK787" s="285"/>
    </row>
    <row r="788" spans="1:37" s="24" customFormat="1" ht="15">
      <c r="A788" s="119"/>
      <c r="B788" s="110"/>
      <c r="C788" s="89"/>
      <c r="D788" s="89"/>
      <c r="E788" s="89"/>
      <c r="F788" s="89"/>
      <c r="G788" s="23"/>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row>
    <row r="789" spans="1:37" s="24" customFormat="1" ht="15">
      <c r="A789" s="119"/>
      <c r="B789" s="110"/>
      <c r="C789" s="89"/>
      <c r="D789" s="89"/>
      <c r="E789" s="89"/>
      <c r="F789" s="89"/>
      <c r="G789" s="23"/>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row>
    <row r="790" spans="1:37" s="24" customFormat="1" ht="15">
      <c r="A790" s="119"/>
      <c r="B790" s="110"/>
      <c r="C790" s="89"/>
      <c r="D790" s="89"/>
      <c r="E790" s="89"/>
      <c r="F790" s="89"/>
      <c r="G790" s="23"/>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c r="AJ790" s="285"/>
      <c r="AK790" s="285"/>
    </row>
    <row r="791" spans="1:37" s="24" customFormat="1" ht="15">
      <c r="A791" s="119"/>
      <c r="B791" s="110"/>
      <c r="C791" s="89"/>
      <c r="D791" s="89"/>
      <c r="E791" s="89"/>
      <c r="F791" s="89"/>
      <c r="G791" s="23"/>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c r="AJ791" s="285"/>
      <c r="AK791" s="285"/>
    </row>
    <row r="792" spans="1:37" s="24" customFormat="1" ht="15">
      <c r="A792" s="119"/>
      <c r="B792" s="110"/>
      <c r="C792" s="89"/>
      <c r="D792" s="89"/>
      <c r="E792" s="89"/>
      <c r="F792" s="89"/>
      <c r="G792" s="23"/>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c r="AJ792" s="285"/>
      <c r="AK792" s="285"/>
    </row>
    <row r="793" spans="1:37" s="24" customFormat="1" ht="15">
      <c r="A793" s="119"/>
      <c r="B793" s="110"/>
      <c r="C793" s="89"/>
      <c r="D793" s="89"/>
      <c r="E793" s="89"/>
      <c r="F793" s="89"/>
      <c r="G793" s="23"/>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c r="AJ793" s="285"/>
      <c r="AK793" s="285"/>
    </row>
    <row r="794" spans="1:37" s="24" customFormat="1" ht="15">
      <c r="A794" s="119"/>
      <c r="B794" s="110"/>
      <c r="C794" s="89"/>
      <c r="D794" s="89"/>
      <c r="E794" s="89"/>
      <c r="F794" s="89"/>
      <c r="G794" s="23"/>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c r="AJ794" s="285"/>
      <c r="AK794" s="285"/>
    </row>
    <row r="795" spans="1:37" s="24" customFormat="1" ht="15">
      <c r="A795" s="119"/>
      <c r="B795" s="110"/>
      <c r="C795" s="89"/>
      <c r="D795" s="89"/>
      <c r="E795" s="89"/>
      <c r="F795" s="89"/>
      <c r="G795" s="23"/>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c r="AJ795" s="285"/>
      <c r="AK795" s="285"/>
    </row>
    <row r="796" spans="1:37" s="24" customFormat="1" ht="15">
      <c r="A796" s="119"/>
      <c r="B796" s="110"/>
      <c r="C796" s="89"/>
      <c r="D796" s="89"/>
      <c r="E796" s="89"/>
      <c r="F796" s="89"/>
      <c r="G796" s="23"/>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c r="AJ796" s="285"/>
      <c r="AK796" s="285"/>
    </row>
    <row r="797" spans="1:37" s="24" customFormat="1" ht="15">
      <c r="A797" s="119"/>
      <c r="B797" s="110"/>
      <c r="C797" s="89"/>
      <c r="D797" s="89"/>
      <c r="E797" s="89"/>
      <c r="F797" s="89"/>
      <c r="G797" s="23"/>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c r="AJ797" s="285"/>
      <c r="AK797" s="285"/>
    </row>
    <row r="798" spans="1:37" s="24" customFormat="1" ht="15">
      <c r="A798" s="119"/>
      <c r="B798" s="110"/>
      <c r="C798" s="89"/>
      <c r="D798" s="89"/>
      <c r="E798" s="89"/>
      <c r="F798" s="89"/>
      <c r="G798" s="23"/>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c r="AJ798" s="285"/>
      <c r="AK798" s="285"/>
    </row>
    <row r="799" spans="1:37" s="24" customFormat="1" ht="15">
      <c r="A799" s="119"/>
      <c r="B799" s="110"/>
      <c r="C799" s="89"/>
      <c r="D799" s="89"/>
      <c r="E799" s="89"/>
      <c r="F799" s="89"/>
      <c r="G799" s="23"/>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5"/>
      <c r="AK799" s="285"/>
    </row>
    <row r="800" spans="1:37" s="24" customFormat="1" ht="15">
      <c r="A800" s="119"/>
      <c r="B800" s="110"/>
      <c r="C800" s="89"/>
      <c r="D800" s="89"/>
      <c r="E800" s="89"/>
      <c r="F800" s="89"/>
      <c r="G800" s="23"/>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c r="AJ800" s="285"/>
      <c r="AK800" s="285"/>
    </row>
    <row r="801" spans="1:37" s="24" customFormat="1" ht="15">
      <c r="A801" s="119"/>
      <c r="B801" s="110"/>
      <c r="C801" s="89"/>
      <c r="D801" s="89"/>
      <c r="E801" s="89"/>
      <c r="F801" s="89"/>
      <c r="G801" s="23"/>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c r="AJ801" s="285"/>
      <c r="AK801" s="285"/>
    </row>
    <row r="802" spans="1:37" s="24" customFormat="1" ht="15">
      <c r="A802" s="119"/>
      <c r="B802" s="110"/>
      <c r="C802" s="89"/>
      <c r="D802" s="89"/>
      <c r="E802" s="89"/>
      <c r="F802" s="89"/>
      <c r="G802" s="23"/>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c r="AJ802" s="285"/>
      <c r="AK802" s="285"/>
    </row>
    <row r="803" spans="1:37" s="24" customFormat="1" ht="15">
      <c r="A803" s="119"/>
      <c r="B803" s="110"/>
      <c r="C803" s="89"/>
      <c r="D803" s="89"/>
      <c r="E803" s="89"/>
      <c r="F803" s="89"/>
      <c r="G803" s="23"/>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c r="AJ803" s="285"/>
      <c r="AK803" s="285"/>
    </row>
    <row r="804" spans="1:37" s="24" customFormat="1" ht="15">
      <c r="A804" s="119"/>
      <c r="B804" s="110"/>
      <c r="C804" s="89"/>
      <c r="D804" s="89"/>
      <c r="E804" s="89"/>
      <c r="F804" s="89"/>
      <c r="G804" s="23"/>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c r="AJ804" s="285"/>
      <c r="AK804" s="285"/>
    </row>
    <row r="805" spans="1:37" s="24" customFormat="1" ht="15">
      <c r="A805" s="119"/>
      <c r="B805" s="110"/>
      <c r="C805" s="89"/>
      <c r="D805" s="89"/>
      <c r="E805" s="89"/>
      <c r="F805" s="89"/>
      <c r="G805" s="23"/>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c r="AJ805" s="285"/>
      <c r="AK805" s="285"/>
    </row>
    <row r="806" spans="1:37" s="24" customFormat="1" ht="15">
      <c r="A806" s="119"/>
      <c r="B806" s="110"/>
      <c r="C806" s="89"/>
      <c r="D806" s="89"/>
      <c r="E806" s="89"/>
      <c r="F806" s="89"/>
      <c r="G806" s="23"/>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c r="AJ806" s="285"/>
      <c r="AK806" s="285"/>
    </row>
    <row r="807" spans="1:37" s="24" customFormat="1" ht="15">
      <c r="A807" s="119"/>
      <c r="B807" s="110"/>
      <c r="C807" s="89"/>
      <c r="D807" s="89"/>
      <c r="E807" s="89"/>
      <c r="F807" s="89"/>
      <c r="G807" s="23"/>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c r="AJ807" s="285"/>
      <c r="AK807" s="285"/>
    </row>
    <row r="808" spans="1:37" s="24" customFormat="1" ht="15">
      <c r="A808" s="119"/>
      <c r="B808" s="110"/>
      <c r="C808" s="89"/>
      <c r="D808" s="89"/>
      <c r="E808" s="89"/>
      <c r="F808" s="89"/>
      <c r="G808" s="23"/>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c r="AJ808" s="285"/>
      <c r="AK808" s="285"/>
    </row>
    <row r="809" spans="1:37" s="24" customFormat="1" ht="15">
      <c r="A809" s="119"/>
      <c r="B809" s="110"/>
      <c r="C809" s="89"/>
      <c r="D809" s="89"/>
      <c r="E809" s="89"/>
      <c r="F809" s="89"/>
      <c r="G809" s="23"/>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c r="AJ809" s="285"/>
      <c r="AK809" s="285"/>
    </row>
    <row r="810" spans="1:37" s="24" customFormat="1" ht="15">
      <c r="A810" s="119"/>
      <c r="B810" s="110"/>
      <c r="C810" s="89"/>
      <c r="D810" s="89"/>
      <c r="E810" s="89"/>
      <c r="F810" s="89"/>
      <c r="G810" s="23"/>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row>
    <row r="811" spans="1:37" s="24" customFormat="1" ht="15">
      <c r="A811" s="119"/>
      <c r="B811" s="110"/>
      <c r="C811" s="89"/>
      <c r="D811" s="89"/>
      <c r="E811" s="89"/>
      <c r="F811" s="89"/>
      <c r="G811" s="23"/>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c r="AJ811" s="285"/>
      <c r="AK811" s="285"/>
    </row>
    <row r="812" spans="1:37" s="24" customFormat="1" ht="15">
      <c r="A812" s="119"/>
      <c r="B812" s="110"/>
      <c r="C812" s="89"/>
      <c r="D812" s="89"/>
      <c r="E812" s="89"/>
      <c r="F812" s="89"/>
      <c r="G812" s="23"/>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c r="AJ812" s="285"/>
      <c r="AK812" s="285"/>
    </row>
    <row r="813" spans="1:37" s="24" customFormat="1" ht="15">
      <c r="A813" s="119"/>
      <c r="B813" s="110"/>
      <c r="C813" s="89"/>
      <c r="D813" s="89"/>
      <c r="E813" s="89"/>
      <c r="F813" s="89"/>
      <c r="G813" s="23"/>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c r="AJ813" s="285"/>
      <c r="AK813" s="285"/>
    </row>
    <row r="814" spans="1:37" s="24" customFormat="1" ht="15">
      <c r="A814" s="119"/>
      <c r="B814" s="110"/>
      <c r="C814" s="89"/>
      <c r="D814" s="89"/>
      <c r="E814" s="89"/>
      <c r="F814" s="89"/>
      <c r="G814" s="23"/>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c r="AJ814" s="285"/>
      <c r="AK814" s="285"/>
    </row>
    <row r="815" spans="1:37" s="24" customFormat="1" ht="15">
      <c r="A815" s="119"/>
      <c r="B815" s="110"/>
      <c r="C815" s="89"/>
      <c r="D815" s="89"/>
      <c r="E815" s="89"/>
      <c r="F815" s="89"/>
      <c r="G815" s="23"/>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c r="AJ815" s="285"/>
      <c r="AK815" s="285"/>
    </row>
    <row r="816" spans="1:37" s="24" customFormat="1" ht="15">
      <c r="A816" s="119"/>
      <c r="B816" s="110"/>
      <c r="C816" s="89"/>
      <c r="D816" s="89"/>
      <c r="E816" s="89"/>
      <c r="F816" s="89"/>
      <c r="G816" s="23"/>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c r="AJ816" s="285"/>
      <c r="AK816" s="285"/>
    </row>
    <row r="817" spans="1:37" s="24" customFormat="1" ht="15">
      <c r="A817" s="119"/>
      <c r="B817" s="110"/>
      <c r="C817" s="89"/>
      <c r="D817" s="89"/>
      <c r="E817" s="89"/>
      <c r="F817" s="89"/>
      <c r="G817" s="23"/>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285"/>
    </row>
    <row r="818" spans="1:37" s="24" customFormat="1" ht="15">
      <c r="A818" s="119"/>
      <c r="B818" s="110"/>
      <c r="C818" s="89"/>
      <c r="D818" s="89"/>
      <c r="E818" s="89"/>
      <c r="F818" s="89"/>
      <c r="G818" s="23"/>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285"/>
    </row>
    <row r="819" spans="1:37" s="24" customFormat="1" ht="15">
      <c r="A819" s="119"/>
      <c r="B819" s="110"/>
      <c r="C819" s="89"/>
      <c r="D819" s="89"/>
      <c r="E819" s="89"/>
      <c r="F819" s="89"/>
      <c r="G819" s="23"/>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285"/>
    </row>
    <row r="820" spans="1:37" s="24" customFormat="1" ht="15">
      <c r="A820" s="119"/>
      <c r="B820" s="110"/>
      <c r="C820" s="89"/>
      <c r="D820" s="89"/>
      <c r="E820" s="89"/>
      <c r="F820" s="89"/>
      <c r="G820" s="23"/>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c r="AJ820" s="285"/>
      <c r="AK820" s="285"/>
    </row>
    <row r="821" spans="1:37" s="24" customFormat="1" ht="15">
      <c r="A821" s="119"/>
      <c r="B821" s="110"/>
      <c r="C821" s="89"/>
      <c r="D821" s="89"/>
      <c r="E821" s="89"/>
      <c r="F821" s="89"/>
      <c r="G821" s="23"/>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c r="AJ821" s="285"/>
      <c r="AK821" s="285"/>
    </row>
    <row r="822" spans="1:37" s="24" customFormat="1" ht="15">
      <c r="A822" s="119"/>
      <c r="B822" s="110"/>
      <c r="C822" s="89"/>
      <c r="D822" s="89"/>
      <c r="E822" s="89"/>
      <c r="F822" s="89"/>
      <c r="G822" s="23"/>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c r="AJ822" s="285"/>
      <c r="AK822" s="285"/>
    </row>
    <row r="823" spans="1:37" s="24" customFormat="1" ht="15">
      <c r="A823" s="119"/>
      <c r="B823" s="110"/>
      <c r="C823" s="89"/>
      <c r="D823" s="89"/>
      <c r="E823" s="89"/>
      <c r="F823" s="89"/>
      <c r="G823" s="23"/>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c r="AJ823" s="285"/>
      <c r="AK823" s="285"/>
    </row>
    <row r="824" spans="1:37" s="24" customFormat="1" ht="15">
      <c r="A824" s="119"/>
      <c r="B824" s="110"/>
      <c r="C824" s="89"/>
      <c r="D824" s="89"/>
      <c r="E824" s="89"/>
      <c r="F824" s="89"/>
      <c r="G824" s="23"/>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c r="AJ824" s="285"/>
      <c r="AK824" s="285"/>
    </row>
    <row r="825" spans="1:37" s="24" customFormat="1" ht="15">
      <c r="A825" s="119"/>
      <c r="B825" s="110"/>
      <c r="C825" s="89"/>
      <c r="D825" s="89"/>
      <c r="E825" s="89"/>
      <c r="F825" s="89"/>
      <c r="G825" s="23"/>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c r="AJ825" s="285"/>
      <c r="AK825" s="285"/>
    </row>
    <row r="826" spans="1:37" s="24" customFormat="1" ht="15">
      <c r="A826" s="119"/>
      <c r="B826" s="110"/>
      <c r="C826" s="89"/>
      <c r="D826" s="89"/>
      <c r="E826" s="89"/>
      <c r="F826" s="89"/>
      <c r="G826" s="23"/>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c r="AJ826" s="285"/>
      <c r="AK826" s="285"/>
    </row>
    <row r="827" spans="1:37" s="24" customFormat="1" ht="15">
      <c r="A827" s="119"/>
      <c r="B827" s="110"/>
      <c r="C827" s="89"/>
      <c r="D827" s="89"/>
      <c r="E827" s="89"/>
      <c r="F827" s="89"/>
      <c r="G827" s="23"/>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c r="AJ827" s="285"/>
      <c r="AK827" s="285"/>
    </row>
    <row r="828" spans="1:37" s="24" customFormat="1" ht="15">
      <c r="A828" s="119"/>
      <c r="B828" s="110"/>
      <c r="C828" s="89"/>
      <c r="D828" s="89"/>
      <c r="E828" s="89"/>
      <c r="F828" s="89"/>
      <c r="G828" s="23"/>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c r="AJ828" s="285"/>
      <c r="AK828" s="285"/>
    </row>
    <row r="829" spans="1:37" s="24" customFormat="1" ht="15">
      <c r="A829" s="119"/>
      <c r="B829" s="110"/>
      <c r="C829" s="89"/>
      <c r="D829" s="89"/>
      <c r="E829" s="89"/>
      <c r="F829" s="89"/>
      <c r="G829" s="23"/>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c r="AJ829" s="285"/>
      <c r="AK829" s="285"/>
    </row>
    <row r="830" spans="1:37" s="24" customFormat="1" ht="15">
      <c r="A830" s="119"/>
      <c r="B830" s="110"/>
      <c r="C830" s="89"/>
      <c r="D830" s="89"/>
      <c r="E830" s="89"/>
      <c r="F830" s="89"/>
      <c r="G830" s="23"/>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c r="AJ830" s="285"/>
      <c r="AK830" s="285"/>
    </row>
    <row r="831" spans="1:37" s="24" customFormat="1" ht="15">
      <c r="A831" s="119"/>
      <c r="B831" s="110"/>
      <c r="C831" s="89"/>
      <c r="D831" s="89"/>
      <c r="E831" s="89"/>
      <c r="F831" s="89"/>
      <c r="G831" s="23"/>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285"/>
    </row>
    <row r="832" spans="1:37" s="24" customFormat="1" ht="15">
      <c r="A832" s="119"/>
      <c r="B832" s="110"/>
      <c r="C832" s="89"/>
      <c r="D832" s="89"/>
      <c r="E832" s="89"/>
      <c r="F832" s="89"/>
      <c r="G832" s="23"/>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285"/>
    </row>
    <row r="833" spans="1:37" s="24" customFormat="1" ht="15">
      <c r="A833" s="119"/>
      <c r="B833" s="110"/>
      <c r="C833" s="89"/>
      <c r="D833" s="89"/>
      <c r="E833" s="89"/>
      <c r="F833" s="89"/>
      <c r="G833" s="23"/>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285"/>
    </row>
    <row r="834" spans="1:37" s="24" customFormat="1" ht="15">
      <c r="A834" s="119"/>
      <c r="B834" s="110"/>
      <c r="C834" s="89"/>
      <c r="D834" s="89"/>
      <c r="E834" s="89"/>
      <c r="F834" s="89"/>
      <c r="G834" s="23"/>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5"/>
      <c r="AK834" s="285"/>
    </row>
    <row r="835" spans="1:37" s="24" customFormat="1" ht="15">
      <c r="A835" s="119"/>
      <c r="B835" s="110"/>
      <c r="C835" s="89"/>
      <c r="D835" s="89"/>
      <c r="E835" s="89"/>
      <c r="F835" s="89"/>
      <c r="G835" s="23"/>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c r="AJ835" s="285"/>
      <c r="AK835" s="285"/>
    </row>
    <row r="836" spans="1:37" s="24" customFormat="1" ht="15">
      <c r="A836" s="119"/>
      <c r="B836" s="110"/>
      <c r="C836" s="89"/>
      <c r="D836" s="89"/>
      <c r="E836" s="89"/>
      <c r="F836" s="89"/>
      <c r="G836" s="23"/>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c r="AJ836" s="285"/>
      <c r="AK836" s="285"/>
    </row>
    <row r="837" spans="1:37" s="24" customFormat="1" ht="15">
      <c r="A837" s="119"/>
      <c r="B837" s="110"/>
      <c r="C837" s="89"/>
      <c r="D837" s="89"/>
      <c r="E837" s="89"/>
      <c r="F837" s="89"/>
      <c r="G837" s="23"/>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c r="AJ837" s="285"/>
      <c r="AK837" s="285"/>
    </row>
    <row r="838" spans="1:37" s="24" customFormat="1" ht="15">
      <c r="A838" s="119"/>
      <c r="B838" s="110"/>
      <c r="C838" s="89"/>
      <c r="D838" s="89"/>
      <c r="E838" s="89"/>
      <c r="F838" s="89"/>
      <c r="G838" s="23"/>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c r="AJ838" s="285"/>
      <c r="AK838" s="285"/>
    </row>
    <row r="839" spans="1:37" s="24" customFormat="1" ht="15">
      <c r="A839" s="119"/>
      <c r="B839" s="110"/>
      <c r="C839" s="89"/>
      <c r="D839" s="89"/>
      <c r="E839" s="89"/>
      <c r="F839" s="89"/>
      <c r="G839" s="23"/>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c r="AJ839" s="285"/>
      <c r="AK839" s="285"/>
    </row>
    <row r="840" spans="1:37" s="24" customFormat="1" ht="15">
      <c r="A840" s="119"/>
      <c r="B840" s="110"/>
      <c r="C840" s="89"/>
      <c r="D840" s="89"/>
      <c r="E840" s="89"/>
      <c r="F840" s="89"/>
      <c r="G840" s="23"/>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c r="AJ840" s="285"/>
      <c r="AK840" s="285"/>
    </row>
    <row r="841" spans="1:37" s="24" customFormat="1" ht="15">
      <c r="A841" s="119"/>
      <c r="B841" s="110"/>
      <c r="C841" s="89"/>
      <c r="D841" s="89"/>
      <c r="E841" s="89"/>
      <c r="F841" s="89"/>
      <c r="G841" s="23"/>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row>
    <row r="842" spans="1:37" s="24" customFormat="1" ht="15">
      <c r="A842" s="119"/>
      <c r="B842" s="110"/>
      <c r="C842" s="89"/>
      <c r="D842" s="89"/>
      <c r="E842" s="89"/>
      <c r="F842" s="89"/>
      <c r="G842" s="23"/>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c r="AJ842" s="285"/>
      <c r="AK842" s="285"/>
    </row>
    <row r="843" spans="1:37" s="24" customFormat="1" ht="15">
      <c r="A843" s="119"/>
      <c r="B843" s="110"/>
      <c r="C843" s="89"/>
      <c r="D843" s="89"/>
      <c r="E843" s="89"/>
      <c r="F843" s="89"/>
      <c r="G843" s="23"/>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c r="AJ843" s="285"/>
      <c r="AK843" s="285"/>
    </row>
    <row r="844" spans="1:37" s="24" customFormat="1" ht="15">
      <c r="A844" s="119"/>
      <c r="B844" s="110"/>
      <c r="C844" s="89"/>
      <c r="D844" s="89"/>
      <c r="E844" s="89"/>
      <c r="F844" s="89"/>
      <c r="G844" s="23"/>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c r="AJ844" s="285"/>
      <c r="AK844" s="285"/>
    </row>
    <row r="845" spans="1:37" s="24" customFormat="1" ht="15">
      <c r="A845" s="119"/>
      <c r="B845" s="110"/>
      <c r="C845" s="89"/>
      <c r="D845" s="89"/>
      <c r="E845" s="89"/>
      <c r="F845" s="89"/>
      <c r="G845" s="23"/>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c r="AJ845" s="285"/>
      <c r="AK845" s="285"/>
    </row>
    <row r="846" spans="1:37" s="24" customFormat="1" ht="15">
      <c r="A846" s="119"/>
      <c r="B846" s="110"/>
      <c r="C846" s="89"/>
      <c r="D846" s="89"/>
      <c r="E846" s="89"/>
      <c r="F846" s="89"/>
      <c r="G846" s="23"/>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c r="AJ846" s="285"/>
      <c r="AK846" s="285"/>
    </row>
    <row r="847" spans="1:37" s="24" customFormat="1" ht="15">
      <c r="A847" s="119"/>
      <c r="B847" s="110"/>
      <c r="C847" s="89"/>
      <c r="D847" s="89"/>
      <c r="E847" s="89"/>
      <c r="F847" s="89"/>
      <c r="G847" s="23"/>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c r="AJ847" s="285"/>
      <c r="AK847" s="285"/>
    </row>
    <row r="848" spans="1:37" s="24" customFormat="1" ht="15">
      <c r="A848" s="119"/>
      <c r="B848" s="110"/>
      <c r="C848" s="89"/>
      <c r="D848" s="89"/>
      <c r="E848" s="89"/>
      <c r="F848" s="89"/>
      <c r="G848" s="23"/>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c r="AJ848" s="285"/>
      <c r="AK848" s="285"/>
    </row>
    <row r="849" spans="1:37" s="24" customFormat="1" ht="15">
      <c r="A849" s="119"/>
      <c r="B849" s="110"/>
      <c r="C849" s="89"/>
      <c r="D849" s="89"/>
      <c r="E849" s="89"/>
      <c r="F849" s="89"/>
      <c r="G849" s="23"/>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c r="AJ849" s="285"/>
      <c r="AK849" s="285"/>
    </row>
    <row r="850" spans="1:37" s="24" customFormat="1" ht="15">
      <c r="A850" s="119"/>
      <c r="B850" s="110"/>
      <c r="C850" s="89"/>
      <c r="D850" s="89"/>
      <c r="E850" s="89"/>
      <c r="F850" s="89"/>
      <c r="G850" s="23"/>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c r="AJ850" s="285"/>
      <c r="AK850" s="285"/>
    </row>
    <row r="851" spans="1:37" s="24" customFormat="1" ht="15">
      <c r="A851" s="119"/>
      <c r="B851" s="110"/>
      <c r="C851" s="89"/>
      <c r="D851" s="89"/>
      <c r="E851" s="89"/>
      <c r="F851" s="89"/>
      <c r="G851" s="23"/>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c r="AJ851" s="285"/>
      <c r="AK851" s="285"/>
    </row>
    <row r="852" spans="1:37" s="24" customFormat="1" ht="15">
      <c r="A852" s="119"/>
      <c r="B852" s="110"/>
      <c r="C852" s="89"/>
      <c r="D852" s="89"/>
      <c r="E852" s="89"/>
      <c r="F852" s="89"/>
      <c r="G852" s="23"/>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c r="AJ852" s="285"/>
      <c r="AK852" s="285"/>
    </row>
    <row r="853" spans="1:37" s="24" customFormat="1" ht="15">
      <c r="A853" s="119"/>
      <c r="B853" s="110"/>
      <c r="C853" s="89"/>
      <c r="D853" s="89"/>
      <c r="E853" s="89"/>
      <c r="F853" s="89"/>
      <c r="G853" s="23"/>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c r="AJ853" s="285"/>
      <c r="AK853" s="285"/>
    </row>
    <row r="854" spans="1:37" s="24" customFormat="1" ht="15">
      <c r="A854" s="119"/>
      <c r="B854" s="110"/>
      <c r="C854" s="89"/>
      <c r="D854" s="89"/>
      <c r="E854" s="89"/>
      <c r="F854" s="89"/>
      <c r="G854" s="23"/>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c r="AJ854" s="285"/>
      <c r="AK854" s="285"/>
    </row>
    <row r="855" spans="1:37" s="24" customFormat="1" ht="15">
      <c r="A855" s="119"/>
      <c r="B855" s="110"/>
      <c r="C855" s="89"/>
      <c r="D855" s="89"/>
      <c r="E855" s="89"/>
      <c r="F855" s="89"/>
      <c r="G855" s="23"/>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c r="AJ855" s="285"/>
      <c r="AK855" s="285"/>
    </row>
    <row r="856" spans="1:37" s="24" customFormat="1" ht="15">
      <c r="A856" s="119"/>
      <c r="B856" s="110"/>
      <c r="C856" s="89"/>
      <c r="D856" s="89"/>
      <c r="E856" s="89"/>
      <c r="F856" s="89"/>
      <c r="G856" s="23"/>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c r="AJ856" s="285"/>
      <c r="AK856" s="285"/>
    </row>
    <row r="857" spans="1:37" s="24" customFormat="1" ht="15">
      <c r="A857" s="119"/>
      <c r="B857" s="110"/>
      <c r="C857" s="89"/>
      <c r="D857" s="89"/>
      <c r="E857" s="89"/>
      <c r="F857" s="89"/>
      <c r="G857" s="23"/>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c r="AJ857" s="285"/>
      <c r="AK857" s="285"/>
    </row>
    <row r="858" spans="1:37" s="24" customFormat="1" ht="15">
      <c r="A858" s="119"/>
      <c r="B858" s="110"/>
      <c r="C858" s="89"/>
      <c r="D858" s="89"/>
      <c r="E858" s="89"/>
      <c r="F858" s="89"/>
      <c r="G858" s="23"/>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c r="AJ858" s="285"/>
      <c r="AK858" s="285"/>
    </row>
    <row r="859" spans="1:37" s="24" customFormat="1" ht="15">
      <c r="A859" s="119"/>
      <c r="B859" s="110"/>
      <c r="C859" s="89"/>
      <c r="D859" s="89"/>
      <c r="E859" s="89"/>
      <c r="F859" s="89"/>
      <c r="G859" s="23"/>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c r="AJ859" s="285"/>
      <c r="AK859" s="285"/>
    </row>
    <row r="860" spans="1:37" s="24" customFormat="1" ht="15">
      <c r="A860" s="119"/>
      <c r="B860" s="110"/>
      <c r="C860" s="89"/>
      <c r="D860" s="89"/>
      <c r="E860" s="89"/>
      <c r="F860" s="89"/>
      <c r="G860" s="23"/>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row>
    <row r="861" spans="1:37" s="24" customFormat="1" ht="15">
      <c r="A861" s="119"/>
      <c r="B861" s="110"/>
      <c r="C861" s="89"/>
      <c r="D861" s="89"/>
      <c r="E861" s="89"/>
      <c r="F861" s="89"/>
      <c r="G861" s="23"/>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c r="AJ861" s="285"/>
      <c r="AK861" s="285"/>
    </row>
    <row r="862" spans="1:37" s="24" customFormat="1" ht="15">
      <c r="A862" s="119"/>
      <c r="B862" s="110"/>
      <c r="C862" s="89"/>
      <c r="D862" s="89"/>
      <c r="E862" s="89"/>
      <c r="F862" s="89"/>
      <c r="G862" s="23"/>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c r="AJ862" s="285"/>
      <c r="AK862" s="285"/>
    </row>
    <row r="863" spans="1:37" s="24" customFormat="1" ht="15">
      <c r="A863" s="119"/>
      <c r="B863" s="110"/>
      <c r="C863" s="89"/>
      <c r="D863" s="89"/>
      <c r="E863" s="89"/>
      <c r="F863" s="89"/>
      <c r="G863" s="23"/>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c r="AJ863" s="285"/>
      <c r="AK863" s="285"/>
    </row>
    <row r="864" spans="1:37" s="24" customFormat="1" ht="15">
      <c r="A864" s="119"/>
      <c r="B864" s="110"/>
      <c r="C864" s="89"/>
      <c r="D864" s="89"/>
      <c r="E864" s="89"/>
      <c r="F864" s="89"/>
      <c r="G864" s="23"/>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row>
    <row r="865" spans="1:37" s="24" customFormat="1" ht="15">
      <c r="A865" s="119"/>
      <c r="B865" s="110"/>
      <c r="C865" s="89"/>
      <c r="D865" s="89"/>
      <c r="E865" s="89"/>
      <c r="F865" s="89"/>
      <c r="G865" s="23"/>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c r="AJ865" s="285"/>
      <c r="AK865" s="285"/>
    </row>
    <row r="866" spans="1:37" s="24" customFormat="1" ht="15">
      <c r="A866" s="119"/>
      <c r="B866" s="110"/>
      <c r="C866" s="89"/>
      <c r="D866" s="89"/>
      <c r="E866" s="89"/>
      <c r="F866" s="89"/>
      <c r="G866" s="23"/>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c r="AJ866" s="285"/>
      <c r="AK866" s="285"/>
    </row>
    <row r="867" spans="1:37" s="24" customFormat="1" ht="15">
      <c r="A867" s="119"/>
      <c r="B867" s="110"/>
      <c r="C867" s="89"/>
      <c r="D867" s="89"/>
      <c r="E867" s="89"/>
      <c r="F867" s="89"/>
      <c r="G867" s="23"/>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row>
    <row r="868" spans="1:37" s="24" customFormat="1" ht="15">
      <c r="A868" s="119"/>
      <c r="B868" s="110"/>
      <c r="C868" s="89"/>
      <c r="D868" s="89"/>
      <c r="E868" s="89"/>
      <c r="F868" s="89"/>
      <c r="G868" s="23"/>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c r="AJ868" s="285"/>
      <c r="AK868" s="285"/>
    </row>
    <row r="869" spans="1:37" s="24" customFormat="1" ht="15">
      <c r="A869" s="119"/>
      <c r="B869" s="110"/>
      <c r="C869" s="89"/>
      <c r="D869" s="89"/>
      <c r="E869" s="89"/>
      <c r="F869" s="89"/>
      <c r="G869" s="23"/>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row>
    <row r="870" spans="1:37" s="24" customFormat="1" ht="15">
      <c r="A870" s="119"/>
      <c r="B870" s="110"/>
      <c r="C870" s="89"/>
      <c r="D870" s="89"/>
      <c r="E870" s="89"/>
      <c r="F870" s="89"/>
      <c r="G870" s="23"/>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c r="AJ870" s="285"/>
      <c r="AK870" s="285"/>
    </row>
    <row r="871" spans="1:37" s="24" customFormat="1" ht="15">
      <c r="A871" s="119"/>
      <c r="B871" s="110"/>
      <c r="C871" s="89"/>
      <c r="D871" s="89"/>
      <c r="E871" s="89"/>
      <c r="F871" s="89"/>
      <c r="G871" s="23"/>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c r="AJ871" s="285"/>
      <c r="AK871" s="285"/>
    </row>
    <row r="872" spans="1:37" s="24" customFormat="1" ht="15">
      <c r="A872" s="119"/>
      <c r="B872" s="110"/>
      <c r="C872" s="89"/>
      <c r="D872" s="89"/>
      <c r="E872" s="89"/>
      <c r="F872" s="89"/>
      <c r="G872" s="23"/>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c r="AJ872" s="285"/>
      <c r="AK872" s="285"/>
    </row>
    <row r="873" spans="1:37" s="24" customFormat="1" ht="15">
      <c r="A873" s="119"/>
      <c r="B873" s="110"/>
      <c r="C873" s="89"/>
      <c r="D873" s="89"/>
      <c r="E873" s="89"/>
      <c r="F873" s="89"/>
      <c r="G873" s="23"/>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row>
    <row r="874" spans="1:37" s="24" customFormat="1" ht="15">
      <c r="A874" s="119"/>
      <c r="B874" s="110"/>
      <c r="C874" s="89"/>
      <c r="D874" s="89"/>
      <c r="E874" s="89"/>
      <c r="F874" s="89"/>
      <c r="G874" s="23"/>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c r="AJ874" s="285"/>
      <c r="AK874" s="285"/>
    </row>
    <row r="875" spans="1:37" s="24" customFormat="1" ht="15">
      <c r="A875" s="119"/>
      <c r="B875" s="110"/>
      <c r="C875" s="89"/>
      <c r="D875" s="89"/>
      <c r="E875" s="89"/>
      <c r="F875" s="89"/>
      <c r="G875" s="23"/>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c r="AJ875" s="285"/>
      <c r="AK875" s="285"/>
    </row>
    <row r="876" spans="1:37" s="24" customFormat="1" ht="15">
      <c r="A876" s="119"/>
      <c r="B876" s="110"/>
      <c r="C876" s="89"/>
      <c r="D876" s="89"/>
      <c r="E876" s="89"/>
      <c r="F876" s="89"/>
      <c r="G876" s="23"/>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c r="AJ876" s="285"/>
      <c r="AK876" s="285"/>
    </row>
    <row r="877" spans="1:37" s="24" customFormat="1" ht="15">
      <c r="A877" s="119"/>
      <c r="B877" s="110"/>
      <c r="C877" s="89"/>
      <c r="D877" s="89"/>
      <c r="E877" s="89"/>
      <c r="F877" s="89"/>
      <c r="G877" s="23"/>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c r="AJ877" s="285"/>
      <c r="AK877" s="285"/>
    </row>
    <row r="878" spans="1:37" s="24" customFormat="1" ht="15">
      <c r="A878" s="119"/>
      <c r="B878" s="110"/>
      <c r="C878" s="89"/>
      <c r="D878" s="89"/>
      <c r="E878" s="89"/>
      <c r="F878" s="89"/>
      <c r="G878" s="23"/>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c r="AJ878" s="285"/>
      <c r="AK878" s="285"/>
    </row>
    <row r="879" spans="1:37" s="24" customFormat="1" ht="15">
      <c r="A879" s="119"/>
      <c r="B879" s="110"/>
      <c r="C879" s="89"/>
      <c r="D879" s="89"/>
      <c r="E879" s="89"/>
      <c r="F879" s="89"/>
      <c r="G879" s="23"/>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c r="AJ879" s="285"/>
      <c r="AK879" s="285"/>
    </row>
    <row r="880" spans="1:37" s="24" customFormat="1" ht="15">
      <c r="A880" s="119"/>
      <c r="B880" s="110"/>
      <c r="C880" s="89"/>
      <c r="D880" s="89"/>
      <c r="E880" s="89"/>
      <c r="F880" s="89"/>
      <c r="G880" s="23"/>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c r="AJ880" s="285"/>
      <c r="AK880" s="285"/>
    </row>
    <row r="881" spans="1:37" s="24" customFormat="1" ht="15">
      <c r="A881" s="119"/>
      <c r="B881" s="110"/>
      <c r="C881" s="89"/>
      <c r="D881" s="89"/>
      <c r="E881" s="89"/>
      <c r="F881" s="89"/>
      <c r="G881" s="23"/>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c r="AJ881" s="285"/>
      <c r="AK881" s="285"/>
    </row>
    <row r="882" spans="1:37" s="24" customFormat="1" ht="15">
      <c r="A882" s="119"/>
      <c r="B882" s="110"/>
      <c r="C882" s="89"/>
      <c r="D882" s="89"/>
      <c r="E882" s="89"/>
      <c r="F882" s="89"/>
      <c r="G882" s="23"/>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c r="AJ882" s="285"/>
      <c r="AK882" s="285"/>
    </row>
    <row r="883" spans="1:37" s="24" customFormat="1" ht="15">
      <c r="A883" s="119"/>
      <c r="B883" s="110"/>
      <c r="C883" s="89"/>
      <c r="D883" s="89"/>
      <c r="E883" s="89"/>
      <c r="F883" s="89"/>
      <c r="G883" s="23"/>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c r="AJ883" s="285"/>
      <c r="AK883" s="285"/>
    </row>
    <row r="884" spans="1:37" s="24" customFormat="1" ht="15">
      <c r="A884" s="119"/>
      <c r="B884" s="110"/>
      <c r="C884" s="89"/>
      <c r="D884" s="89"/>
      <c r="E884" s="89"/>
      <c r="F884" s="89"/>
      <c r="G884" s="23"/>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c r="AJ884" s="285"/>
      <c r="AK884" s="285"/>
    </row>
    <row r="885" spans="1:37" s="24" customFormat="1" ht="15">
      <c r="A885" s="119"/>
      <c r="B885" s="110"/>
      <c r="C885" s="89"/>
      <c r="D885" s="89"/>
      <c r="E885" s="89"/>
      <c r="F885" s="89"/>
      <c r="G885" s="23"/>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c r="AJ885" s="285"/>
      <c r="AK885" s="285"/>
    </row>
    <row r="886" spans="1:37" s="24" customFormat="1" ht="15">
      <c r="A886" s="119"/>
      <c r="B886" s="110"/>
      <c r="C886" s="89"/>
      <c r="D886" s="89"/>
      <c r="E886" s="89"/>
      <c r="F886" s="89"/>
      <c r="G886" s="23"/>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c r="AJ886" s="285"/>
      <c r="AK886" s="285"/>
    </row>
    <row r="887" spans="1:37" s="24" customFormat="1" ht="15">
      <c r="A887" s="119"/>
      <c r="B887" s="110"/>
      <c r="C887" s="89"/>
      <c r="D887" s="89"/>
      <c r="E887" s="89"/>
      <c r="F887" s="89"/>
      <c r="G887" s="23"/>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c r="AJ887" s="285"/>
      <c r="AK887" s="285"/>
    </row>
    <row r="888" spans="1:37" s="24" customFormat="1" ht="15">
      <c r="A888" s="119"/>
      <c r="B888" s="110"/>
      <c r="C888" s="89"/>
      <c r="D888" s="89"/>
      <c r="E888" s="89"/>
      <c r="F888" s="89"/>
      <c r="G888" s="23"/>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c r="AJ888" s="285"/>
      <c r="AK888" s="285"/>
    </row>
    <row r="889" spans="1:37" s="24" customFormat="1" ht="15">
      <c r="A889" s="119"/>
      <c r="B889" s="110"/>
      <c r="C889" s="89"/>
      <c r="D889" s="89"/>
      <c r="E889" s="89"/>
      <c r="F889" s="89"/>
      <c r="G889" s="23"/>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c r="AJ889" s="285"/>
      <c r="AK889" s="285"/>
    </row>
    <row r="890" spans="1:37" s="24" customFormat="1" ht="15">
      <c r="A890" s="119"/>
      <c r="B890" s="110"/>
      <c r="C890" s="89"/>
      <c r="D890" s="89"/>
      <c r="E890" s="89"/>
      <c r="F890" s="89"/>
      <c r="G890" s="23"/>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c r="AJ890" s="285"/>
      <c r="AK890" s="285"/>
    </row>
    <row r="891" spans="1:37" s="24" customFormat="1" ht="15">
      <c r="A891" s="119"/>
      <c r="B891" s="110"/>
      <c r="C891" s="89"/>
      <c r="D891" s="89"/>
      <c r="E891" s="89"/>
      <c r="F891" s="89"/>
      <c r="G891" s="23"/>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c r="AJ891" s="285"/>
      <c r="AK891" s="285"/>
    </row>
    <row r="892" spans="1:37" s="24" customFormat="1" ht="15">
      <c r="A892" s="119"/>
      <c r="B892" s="110"/>
      <c r="C892" s="89"/>
      <c r="D892" s="89"/>
      <c r="E892" s="89"/>
      <c r="F892" s="89"/>
      <c r="G892" s="23"/>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c r="AJ892" s="285"/>
      <c r="AK892" s="285"/>
    </row>
    <row r="893" spans="1:37" s="24" customFormat="1" ht="15">
      <c r="A893" s="119"/>
      <c r="B893" s="110"/>
      <c r="C893" s="89"/>
      <c r="D893" s="89"/>
      <c r="E893" s="89"/>
      <c r="F893" s="89"/>
      <c r="G893" s="23"/>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c r="AJ893" s="285"/>
      <c r="AK893" s="285"/>
    </row>
    <row r="894" spans="1:37" s="24" customFormat="1" ht="15">
      <c r="A894" s="119"/>
      <c r="B894" s="110"/>
      <c r="C894" s="89"/>
      <c r="D894" s="89"/>
      <c r="E894" s="89"/>
      <c r="F894" s="89"/>
      <c r="G894" s="23"/>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c r="AJ894" s="285"/>
      <c r="AK894" s="285"/>
    </row>
    <row r="895" spans="1:37" s="24" customFormat="1" ht="15">
      <c r="A895" s="119"/>
      <c r="B895" s="110"/>
      <c r="C895" s="89"/>
      <c r="D895" s="89"/>
      <c r="E895" s="89"/>
      <c r="F895" s="89"/>
      <c r="G895" s="23"/>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c r="AJ895" s="285"/>
      <c r="AK895" s="285"/>
    </row>
    <row r="896" spans="1:37" s="24" customFormat="1" ht="15">
      <c r="A896" s="119"/>
      <c r="B896" s="110"/>
      <c r="C896" s="89"/>
      <c r="D896" s="89"/>
      <c r="E896" s="89"/>
      <c r="F896" s="89"/>
      <c r="G896" s="23"/>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c r="AJ896" s="285"/>
      <c r="AK896" s="285"/>
    </row>
    <row r="897" spans="1:37" s="24" customFormat="1" ht="15">
      <c r="A897" s="119"/>
      <c r="B897" s="110"/>
      <c r="C897" s="89"/>
      <c r="D897" s="89"/>
      <c r="E897" s="89"/>
      <c r="F897" s="89"/>
      <c r="G897" s="23"/>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c r="AJ897" s="285"/>
      <c r="AK897" s="285"/>
    </row>
    <row r="898" spans="1:37" s="24" customFormat="1" ht="15">
      <c r="A898" s="119"/>
      <c r="B898" s="110"/>
      <c r="C898" s="89"/>
      <c r="D898" s="89"/>
      <c r="E898" s="89"/>
      <c r="F898" s="89"/>
      <c r="G898" s="23"/>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c r="AJ898" s="285"/>
      <c r="AK898" s="285"/>
    </row>
    <row r="899" spans="1:37" s="24" customFormat="1" ht="15">
      <c r="A899" s="119"/>
      <c r="B899" s="110"/>
      <c r="C899" s="89"/>
      <c r="D899" s="89"/>
      <c r="E899" s="89"/>
      <c r="F899" s="89"/>
      <c r="G899" s="23"/>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c r="AJ899" s="285"/>
      <c r="AK899" s="285"/>
    </row>
    <row r="900" spans="1:37" s="24" customFormat="1" ht="15">
      <c r="A900" s="119"/>
      <c r="B900" s="110"/>
      <c r="C900" s="89"/>
      <c r="D900" s="89"/>
      <c r="E900" s="89"/>
      <c r="F900" s="89"/>
      <c r="G900" s="23"/>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c r="AJ900" s="285"/>
      <c r="AK900" s="285"/>
    </row>
    <row r="901" spans="1:37" s="24" customFormat="1" ht="15">
      <c r="A901" s="119"/>
      <c r="B901" s="110"/>
      <c r="C901" s="89"/>
      <c r="D901" s="89"/>
      <c r="E901" s="89"/>
      <c r="F901" s="89"/>
      <c r="G901" s="23"/>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c r="AJ901" s="285"/>
      <c r="AK901" s="285"/>
    </row>
    <row r="902" spans="1:37" s="24" customFormat="1" ht="15">
      <c r="A902" s="119"/>
      <c r="B902" s="110"/>
      <c r="C902" s="89"/>
      <c r="D902" s="89"/>
      <c r="E902" s="89"/>
      <c r="F902" s="89"/>
      <c r="G902" s="23"/>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row>
    <row r="903" spans="1:37" s="24" customFormat="1" ht="15">
      <c r="A903" s="119"/>
      <c r="B903" s="110"/>
      <c r="C903" s="89"/>
      <c r="D903" s="89"/>
      <c r="E903" s="89"/>
      <c r="F903" s="89"/>
      <c r="G903" s="23"/>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row>
    <row r="904" spans="1:37" s="24" customFormat="1" ht="15">
      <c r="A904" s="119"/>
      <c r="B904" s="110"/>
      <c r="C904" s="89"/>
      <c r="D904" s="89"/>
      <c r="E904" s="89"/>
      <c r="F904" s="89"/>
      <c r="G904" s="23"/>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5"/>
      <c r="AK904" s="285"/>
    </row>
    <row r="905" spans="1:37" s="24" customFormat="1" ht="15">
      <c r="A905" s="119"/>
      <c r="B905" s="110"/>
      <c r="C905" s="89"/>
      <c r="D905" s="89"/>
      <c r="E905" s="89"/>
      <c r="F905" s="89"/>
      <c r="G905" s="23"/>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c r="AJ905" s="285"/>
      <c r="AK905" s="285"/>
    </row>
    <row r="906" spans="1:37" s="24" customFormat="1" ht="15">
      <c r="A906" s="119"/>
      <c r="B906" s="110"/>
      <c r="C906" s="89"/>
      <c r="D906" s="89"/>
      <c r="E906" s="89"/>
      <c r="F906" s="89"/>
      <c r="G906" s="23"/>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c r="AJ906" s="285"/>
      <c r="AK906" s="285"/>
    </row>
    <row r="907" spans="1:37" s="24" customFormat="1" ht="15">
      <c r="A907" s="119"/>
      <c r="B907" s="110"/>
      <c r="C907" s="89"/>
      <c r="D907" s="89"/>
      <c r="E907" s="89"/>
      <c r="F907" s="89"/>
      <c r="G907" s="23"/>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c r="AJ907" s="285"/>
      <c r="AK907" s="285"/>
    </row>
    <row r="908" spans="1:37" s="24" customFormat="1" ht="15">
      <c r="A908" s="119"/>
      <c r="B908" s="110"/>
      <c r="C908" s="89"/>
      <c r="D908" s="89"/>
      <c r="E908" s="89"/>
      <c r="F908" s="89"/>
      <c r="G908" s="23"/>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c r="AJ908" s="285"/>
      <c r="AK908" s="285"/>
    </row>
    <row r="909" spans="1:37" s="24" customFormat="1" ht="15">
      <c r="A909" s="119"/>
      <c r="B909" s="110"/>
      <c r="C909" s="89"/>
      <c r="D909" s="89"/>
      <c r="E909" s="89"/>
      <c r="F909" s="89"/>
      <c r="G909" s="23"/>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c r="AJ909" s="285"/>
      <c r="AK909" s="285"/>
    </row>
    <row r="910" spans="1:37" s="24" customFormat="1" ht="15">
      <c r="A910" s="119"/>
      <c r="B910" s="110"/>
      <c r="C910" s="89"/>
      <c r="D910" s="89"/>
      <c r="E910" s="89"/>
      <c r="F910" s="89"/>
      <c r="G910" s="23"/>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row>
    <row r="911" spans="1:37" s="24" customFormat="1" ht="15">
      <c r="A911" s="119"/>
      <c r="B911" s="110"/>
      <c r="C911" s="89"/>
      <c r="D911" s="89"/>
      <c r="E911" s="89"/>
      <c r="F911" s="89"/>
      <c r="G911" s="23"/>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c r="AJ911" s="285"/>
      <c r="AK911" s="285"/>
    </row>
    <row r="912" spans="1:37" s="24" customFormat="1" ht="15">
      <c r="A912" s="119"/>
      <c r="B912" s="110"/>
      <c r="C912" s="89"/>
      <c r="D912" s="89"/>
      <c r="E912" s="89"/>
      <c r="F912" s="89"/>
      <c r="G912" s="23"/>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c r="AJ912" s="285"/>
      <c r="AK912" s="285"/>
    </row>
    <row r="913" spans="1:37" s="24" customFormat="1" ht="15">
      <c r="A913" s="119"/>
      <c r="B913" s="110"/>
      <c r="C913" s="89"/>
      <c r="D913" s="89"/>
      <c r="E913" s="89"/>
      <c r="F913" s="89"/>
      <c r="G913" s="23"/>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c r="AJ913" s="285"/>
      <c r="AK913" s="285"/>
    </row>
    <row r="914" spans="1:37" s="24" customFormat="1" ht="15">
      <c r="A914" s="119"/>
      <c r="B914" s="110"/>
      <c r="C914" s="89"/>
      <c r="D914" s="89"/>
      <c r="E914" s="89"/>
      <c r="F914" s="89"/>
      <c r="G914" s="23"/>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c r="AJ914" s="285"/>
      <c r="AK914" s="285"/>
    </row>
    <row r="915" spans="1:37" s="24" customFormat="1" ht="15">
      <c r="A915" s="119"/>
      <c r="B915" s="110"/>
      <c r="C915" s="89"/>
      <c r="D915" s="89"/>
      <c r="E915" s="89"/>
      <c r="F915" s="89"/>
      <c r="G915" s="23"/>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c r="AJ915" s="285"/>
      <c r="AK915" s="285"/>
    </row>
    <row r="916" spans="1:37" s="24" customFormat="1" ht="15">
      <c r="A916" s="119"/>
      <c r="B916" s="110"/>
      <c r="C916" s="89"/>
      <c r="D916" s="89"/>
      <c r="E916" s="89"/>
      <c r="F916" s="89"/>
      <c r="G916" s="23"/>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c r="AJ916" s="285"/>
      <c r="AK916" s="285"/>
    </row>
    <row r="917" spans="1:37" s="24" customFormat="1" ht="15">
      <c r="A917" s="119"/>
      <c r="B917" s="110"/>
      <c r="C917" s="89"/>
      <c r="D917" s="89"/>
      <c r="E917" s="89"/>
      <c r="F917" s="89"/>
      <c r="G917" s="23"/>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c r="AJ917" s="285"/>
      <c r="AK917" s="285"/>
    </row>
    <row r="918" spans="1:37" s="24" customFormat="1" ht="15">
      <c r="A918" s="119"/>
      <c r="B918" s="110"/>
      <c r="C918" s="89"/>
      <c r="D918" s="89"/>
      <c r="E918" s="89"/>
      <c r="F918" s="89"/>
      <c r="G918" s="23"/>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c r="AJ918" s="285"/>
      <c r="AK918" s="285"/>
    </row>
    <row r="919" spans="1:37" s="24" customFormat="1" ht="15">
      <c r="A919" s="119"/>
      <c r="B919" s="110"/>
      <c r="C919" s="89"/>
      <c r="D919" s="89"/>
      <c r="E919" s="89"/>
      <c r="F919" s="89"/>
      <c r="G919" s="23"/>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c r="AJ919" s="285"/>
      <c r="AK919" s="285"/>
    </row>
    <row r="920" spans="1:37" s="24" customFormat="1" ht="15">
      <c r="A920" s="119"/>
      <c r="B920" s="110"/>
      <c r="C920" s="89"/>
      <c r="D920" s="89"/>
      <c r="E920" s="89"/>
      <c r="F920" s="89"/>
      <c r="G920" s="23"/>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c r="AJ920" s="285"/>
      <c r="AK920" s="285"/>
    </row>
    <row r="921" spans="1:37" s="24" customFormat="1" ht="15">
      <c r="A921" s="119"/>
      <c r="B921" s="110"/>
      <c r="C921" s="89"/>
      <c r="D921" s="89"/>
      <c r="E921" s="89"/>
      <c r="F921" s="89"/>
      <c r="G921" s="23"/>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c r="AJ921" s="285"/>
      <c r="AK921" s="285"/>
    </row>
    <row r="922" spans="1:37" s="24" customFormat="1" ht="15">
      <c r="A922" s="119"/>
      <c r="B922" s="110"/>
      <c r="C922" s="89"/>
      <c r="D922" s="89"/>
      <c r="E922" s="89"/>
      <c r="F922" s="89"/>
      <c r="G922" s="23"/>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c r="AJ922" s="285"/>
      <c r="AK922" s="285"/>
    </row>
    <row r="923" spans="1:37" s="24" customFormat="1" ht="15">
      <c r="A923" s="119"/>
      <c r="B923" s="110"/>
      <c r="C923" s="89"/>
      <c r="D923" s="89"/>
      <c r="E923" s="89"/>
      <c r="F923" s="89"/>
      <c r="G923" s="23"/>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c r="AJ923" s="285"/>
      <c r="AK923" s="285"/>
    </row>
    <row r="924" spans="1:37" s="24" customFormat="1" ht="15">
      <c r="A924" s="119"/>
      <c r="B924" s="110"/>
      <c r="C924" s="89"/>
      <c r="D924" s="89"/>
      <c r="E924" s="89"/>
      <c r="F924" s="89"/>
      <c r="G924" s="23"/>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c r="AJ924" s="285"/>
      <c r="AK924" s="285"/>
    </row>
    <row r="925" spans="1:37" s="24" customFormat="1" ht="15">
      <c r="A925" s="119"/>
      <c r="B925" s="110"/>
      <c r="C925" s="89"/>
      <c r="D925" s="89"/>
      <c r="E925" s="89"/>
      <c r="F925" s="89"/>
      <c r="G925" s="23"/>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c r="AJ925" s="285"/>
      <c r="AK925" s="285"/>
    </row>
    <row r="926" spans="1:37" s="24" customFormat="1" ht="15">
      <c r="A926" s="119"/>
      <c r="B926" s="110"/>
      <c r="C926" s="89"/>
      <c r="D926" s="89"/>
      <c r="E926" s="89"/>
      <c r="F926" s="89"/>
      <c r="G926" s="23"/>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c r="AJ926" s="285"/>
      <c r="AK926" s="285"/>
    </row>
    <row r="927" spans="1:37" s="24" customFormat="1" ht="15">
      <c r="A927" s="119"/>
      <c r="B927" s="110"/>
      <c r="C927" s="89"/>
      <c r="D927" s="89"/>
      <c r="E927" s="89"/>
      <c r="F927" s="89"/>
      <c r="G927" s="23"/>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row>
    <row r="928" spans="1:37" s="24" customFormat="1" ht="15">
      <c r="A928" s="119"/>
      <c r="B928" s="110"/>
      <c r="C928" s="89"/>
      <c r="D928" s="89"/>
      <c r="E928" s="89"/>
      <c r="F928" s="89"/>
      <c r="G928" s="23"/>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c r="AJ928" s="285"/>
      <c r="AK928" s="285"/>
    </row>
    <row r="929" spans="1:37" s="24" customFormat="1" ht="15">
      <c r="A929" s="119"/>
      <c r="B929" s="110"/>
      <c r="C929" s="89"/>
      <c r="D929" s="89"/>
      <c r="E929" s="89"/>
      <c r="F929" s="89"/>
      <c r="G929" s="23"/>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c r="AJ929" s="285"/>
      <c r="AK929" s="285"/>
    </row>
    <row r="930" spans="1:37" s="24" customFormat="1" ht="15">
      <c r="A930" s="119"/>
      <c r="B930" s="110"/>
      <c r="C930" s="89"/>
      <c r="D930" s="89"/>
      <c r="E930" s="89"/>
      <c r="F930" s="89"/>
      <c r="G930" s="23"/>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c r="AJ930" s="285"/>
      <c r="AK930" s="285"/>
    </row>
    <row r="931" spans="1:37" s="24" customFormat="1" ht="15">
      <c r="A931" s="119"/>
      <c r="B931" s="110"/>
      <c r="C931" s="89"/>
      <c r="D931" s="89"/>
      <c r="E931" s="89"/>
      <c r="F931" s="89"/>
      <c r="G931" s="23"/>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c r="AJ931" s="285"/>
      <c r="AK931" s="285"/>
    </row>
    <row r="932" spans="1:37" s="24" customFormat="1" ht="15">
      <c r="A932" s="119"/>
      <c r="B932" s="110"/>
      <c r="C932" s="89"/>
      <c r="D932" s="89"/>
      <c r="E932" s="89"/>
      <c r="F932" s="89"/>
      <c r="G932" s="23"/>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c r="AJ932" s="285"/>
      <c r="AK932" s="285"/>
    </row>
    <row r="933" spans="1:37" s="24" customFormat="1" ht="15">
      <c r="A933" s="119"/>
      <c r="B933" s="110"/>
      <c r="C933" s="89"/>
      <c r="D933" s="89"/>
      <c r="E933" s="89"/>
      <c r="F933" s="89"/>
      <c r="G933" s="23"/>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c r="AJ933" s="285"/>
      <c r="AK933" s="285"/>
    </row>
    <row r="934" spans="1:37" s="24" customFormat="1" ht="15">
      <c r="A934" s="119"/>
      <c r="B934" s="110"/>
      <c r="C934" s="89"/>
      <c r="D934" s="89"/>
      <c r="E934" s="89"/>
      <c r="F934" s="89"/>
      <c r="G934" s="23"/>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c r="AJ934" s="285"/>
      <c r="AK934" s="285"/>
    </row>
    <row r="935" spans="1:37" s="24" customFormat="1" ht="15">
      <c r="A935" s="119"/>
      <c r="B935" s="110"/>
      <c r="C935" s="89"/>
      <c r="D935" s="89"/>
      <c r="E935" s="89"/>
      <c r="F935" s="89"/>
      <c r="G935" s="23"/>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c r="AJ935" s="285"/>
      <c r="AK935" s="285"/>
    </row>
    <row r="936" spans="1:37" s="24" customFormat="1" ht="15">
      <c r="A936" s="119"/>
      <c r="B936" s="110"/>
      <c r="C936" s="89"/>
      <c r="D936" s="89"/>
      <c r="E936" s="89"/>
      <c r="F936" s="89"/>
      <c r="G936" s="23"/>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c r="AJ936" s="285"/>
      <c r="AK936" s="285"/>
    </row>
    <row r="937" spans="1:37" s="24" customFormat="1" ht="15">
      <c r="A937" s="119"/>
      <c r="B937" s="110"/>
      <c r="C937" s="89"/>
      <c r="D937" s="89"/>
      <c r="E937" s="89"/>
      <c r="F937" s="89"/>
      <c r="G937" s="23"/>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c r="AJ937" s="285"/>
      <c r="AK937" s="285"/>
    </row>
    <row r="938" spans="1:37" s="24" customFormat="1" ht="15">
      <c r="A938" s="119"/>
      <c r="B938" s="110"/>
      <c r="C938" s="89"/>
      <c r="D938" s="89"/>
      <c r="E938" s="89"/>
      <c r="F938" s="89"/>
      <c r="G938" s="23"/>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c r="AJ938" s="285"/>
      <c r="AK938" s="285"/>
    </row>
    <row r="939" spans="1:37" s="24" customFormat="1" ht="15">
      <c r="A939" s="119"/>
      <c r="B939" s="110"/>
      <c r="C939" s="89"/>
      <c r="D939" s="89"/>
      <c r="E939" s="89"/>
      <c r="F939" s="89"/>
      <c r="G939" s="23"/>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5"/>
      <c r="AK939" s="285"/>
    </row>
    <row r="940" spans="1:37" s="24" customFormat="1" ht="15">
      <c r="A940" s="119"/>
      <c r="B940" s="110"/>
      <c r="C940" s="89"/>
      <c r="D940" s="89"/>
      <c r="E940" s="89"/>
      <c r="F940" s="89"/>
      <c r="G940" s="23"/>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c r="AJ940" s="285"/>
      <c r="AK940" s="285"/>
    </row>
    <row r="941" spans="1:37" s="24" customFormat="1" ht="15">
      <c r="A941" s="119"/>
      <c r="B941" s="110"/>
      <c r="C941" s="89"/>
      <c r="D941" s="89"/>
      <c r="E941" s="89"/>
      <c r="F941" s="89"/>
      <c r="G941" s="23"/>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c r="AJ941" s="285"/>
      <c r="AK941" s="285"/>
    </row>
    <row r="942" spans="1:37" s="24" customFormat="1" ht="15">
      <c r="A942" s="119"/>
      <c r="B942" s="110"/>
      <c r="C942" s="89"/>
      <c r="D942" s="89"/>
      <c r="E942" s="89"/>
      <c r="F942" s="89"/>
      <c r="G942" s="23"/>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c r="AJ942" s="285"/>
      <c r="AK942" s="285"/>
    </row>
    <row r="943" spans="1:37" s="24" customFormat="1" ht="15">
      <c r="A943" s="119"/>
      <c r="B943" s="110"/>
      <c r="C943" s="89"/>
      <c r="D943" s="89"/>
      <c r="E943" s="89"/>
      <c r="F943" s="89"/>
      <c r="G943" s="23"/>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c r="AJ943" s="285"/>
      <c r="AK943" s="285"/>
    </row>
    <row r="944" spans="1:37" s="24" customFormat="1" ht="15">
      <c r="A944" s="119"/>
      <c r="B944" s="110"/>
      <c r="C944" s="89"/>
      <c r="D944" s="89"/>
      <c r="E944" s="89"/>
      <c r="F944" s="89"/>
      <c r="G944" s="23"/>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c r="AJ944" s="285"/>
      <c r="AK944" s="285"/>
    </row>
    <row r="945" spans="1:37" s="24" customFormat="1" ht="15">
      <c r="A945" s="119"/>
      <c r="B945" s="110"/>
      <c r="C945" s="89"/>
      <c r="D945" s="89"/>
      <c r="E945" s="89"/>
      <c r="F945" s="89"/>
      <c r="G945" s="23"/>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c r="AJ945" s="285"/>
      <c r="AK945" s="285"/>
    </row>
    <row r="946" spans="1:37" s="24" customFormat="1" ht="15">
      <c r="A946" s="119"/>
      <c r="B946" s="110"/>
      <c r="C946" s="89"/>
      <c r="D946" s="89"/>
      <c r="E946" s="89"/>
      <c r="F946" s="89"/>
      <c r="G946" s="23"/>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c r="AJ946" s="285"/>
      <c r="AK946" s="285"/>
    </row>
    <row r="947" spans="1:37" s="24" customFormat="1" ht="15">
      <c r="A947" s="119"/>
      <c r="B947" s="110"/>
      <c r="C947" s="89"/>
      <c r="D947" s="89"/>
      <c r="E947" s="89"/>
      <c r="F947" s="89"/>
      <c r="G947" s="23"/>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c r="AJ947" s="285"/>
      <c r="AK947" s="285"/>
    </row>
    <row r="948" spans="1:37" s="24" customFormat="1" ht="15">
      <c r="A948" s="119"/>
      <c r="B948" s="110"/>
      <c r="C948" s="89"/>
      <c r="D948" s="89"/>
      <c r="E948" s="89"/>
      <c r="F948" s="89"/>
      <c r="G948" s="23"/>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c r="AJ948" s="285"/>
      <c r="AK948" s="285"/>
    </row>
    <row r="949" spans="1:37" s="24" customFormat="1" ht="15">
      <c r="A949" s="119"/>
      <c r="B949" s="110"/>
      <c r="C949" s="89"/>
      <c r="D949" s="89"/>
      <c r="E949" s="89"/>
      <c r="F949" s="89"/>
      <c r="G949" s="23"/>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c r="AJ949" s="285"/>
      <c r="AK949" s="285"/>
    </row>
    <row r="950" spans="1:37" s="24" customFormat="1" ht="15">
      <c r="A950" s="119"/>
      <c r="B950" s="110"/>
      <c r="C950" s="89"/>
      <c r="D950" s="89"/>
      <c r="E950" s="89"/>
      <c r="F950" s="89"/>
      <c r="G950" s="23"/>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c r="AJ950" s="285"/>
      <c r="AK950" s="285"/>
    </row>
    <row r="951" spans="1:37" s="24" customFormat="1" ht="15">
      <c r="A951" s="119"/>
      <c r="B951" s="110"/>
      <c r="C951" s="89"/>
      <c r="D951" s="89"/>
      <c r="E951" s="89"/>
      <c r="F951" s="89"/>
      <c r="G951" s="23"/>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c r="AJ951" s="285"/>
      <c r="AK951" s="285"/>
    </row>
    <row r="952" spans="1:37" s="24" customFormat="1" ht="15">
      <c r="A952" s="119"/>
      <c r="B952" s="110"/>
      <c r="C952" s="89"/>
      <c r="D952" s="89"/>
      <c r="E952" s="89"/>
      <c r="F952" s="89"/>
      <c r="G952" s="23"/>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row>
    <row r="953" spans="1:37" s="24" customFormat="1" ht="15">
      <c r="A953" s="119"/>
      <c r="B953" s="110"/>
      <c r="C953" s="89"/>
      <c r="D953" s="89"/>
      <c r="E953" s="89"/>
      <c r="F953" s="89"/>
      <c r="G953" s="23"/>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row>
    <row r="954" spans="1:37" s="24" customFormat="1" ht="15">
      <c r="A954" s="119"/>
      <c r="B954" s="110"/>
      <c r="C954" s="89"/>
      <c r="D954" s="89"/>
      <c r="E954" s="89"/>
      <c r="F954" s="89"/>
      <c r="G954" s="23"/>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c r="AJ954" s="285"/>
      <c r="AK954" s="285"/>
    </row>
    <row r="955" spans="1:37" s="24" customFormat="1" ht="15">
      <c r="A955" s="119"/>
      <c r="B955" s="110"/>
      <c r="C955" s="89"/>
      <c r="D955" s="89"/>
      <c r="E955" s="89"/>
      <c r="F955" s="89"/>
      <c r="G955" s="23"/>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c r="AJ955" s="285"/>
      <c r="AK955" s="285"/>
    </row>
    <row r="956" spans="1:37" s="24" customFormat="1" ht="15">
      <c r="A956" s="119"/>
      <c r="B956" s="110"/>
      <c r="C956" s="89"/>
      <c r="D956" s="89"/>
      <c r="E956" s="89"/>
      <c r="F956" s="89"/>
      <c r="G956" s="23"/>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c r="AJ956" s="285"/>
      <c r="AK956" s="285"/>
    </row>
    <row r="957" spans="1:37" s="24" customFormat="1" ht="15">
      <c r="A957" s="119"/>
      <c r="B957" s="110"/>
      <c r="C957" s="89"/>
      <c r="D957" s="89"/>
      <c r="E957" s="89"/>
      <c r="F957" s="89"/>
      <c r="G957" s="23"/>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c r="AJ957" s="285"/>
      <c r="AK957" s="285"/>
    </row>
    <row r="958" spans="1:37" s="24" customFormat="1" ht="15">
      <c r="A958" s="119"/>
      <c r="B958" s="110"/>
      <c r="C958" s="89"/>
      <c r="D958" s="89"/>
      <c r="E958" s="89"/>
      <c r="F958" s="89"/>
      <c r="G958" s="23"/>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c r="AJ958" s="285"/>
      <c r="AK958" s="285"/>
    </row>
    <row r="959" spans="1:37" s="24" customFormat="1" ht="15">
      <c r="A959" s="119"/>
      <c r="B959" s="110"/>
      <c r="C959" s="89"/>
      <c r="D959" s="89"/>
      <c r="E959" s="89"/>
      <c r="F959" s="89"/>
      <c r="G959" s="23"/>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c r="AJ959" s="285"/>
      <c r="AK959" s="285"/>
    </row>
    <row r="960" spans="1:37" s="24" customFormat="1" ht="15">
      <c r="A960" s="119"/>
      <c r="B960" s="110"/>
      <c r="C960" s="89"/>
      <c r="D960" s="89"/>
      <c r="E960" s="89"/>
      <c r="F960" s="89"/>
      <c r="G960" s="23"/>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row>
    <row r="961" spans="1:37" s="24" customFormat="1" ht="15">
      <c r="A961" s="119"/>
      <c r="B961" s="110"/>
      <c r="C961" s="89"/>
      <c r="D961" s="89"/>
      <c r="E961" s="89"/>
      <c r="F961" s="89"/>
      <c r="G961" s="23"/>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c r="AJ961" s="285"/>
      <c r="AK961" s="285"/>
    </row>
    <row r="962" spans="1:37" s="24" customFormat="1" ht="15">
      <c r="A962" s="119"/>
      <c r="B962" s="110"/>
      <c r="C962" s="89"/>
      <c r="D962" s="89"/>
      <c r="E962" s="89"/>
      <c r="F962" s="89"/>
      <c r="G962" s="23"/>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c r="AJ962" s="285"/>
      <c r="AK962" s="285"/>
    </row>
    <row r="963" spans="1:37" s="24" customFormat="1" ht="15">
      <c r="A963" s="119"/>
      <c r="B963" s="110"/>
      <c r="C963" s="89"/>
      <c r="D963" s="89"/>
      <c r="E963" s="89"/>
      <c r="F963" s="89"/>
      <c r="G963" s="23"/>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c r="AJ963" s="285"/>
      <c r="AK963" s="285"/>
    </row>
    <row r="964" spans="1:37" s="24" customFormat="1" ht="15">
      <c r="A964" s="119"/>
      <c r="B964" s="110"/>
      <c r="C964" s="89"/>
      <c r="D964" s="89"/>
      <c r="E964" s="89"/>
      <c r="F964" s="89"/>
      <c r="G964" s="23"/>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c r="AJ964" s="285"/>
      <c r="AK964" s="285"/>
    </row>
    <row r="965" spans="1:37" s="24" customFormat="1" ht="15">
      <c r="A965" s="119"/>
      <c r="B965" s="110"/>
      <c r="C965" s="89"/>
      <c r="D965" s="89"/>
      <c r="E965" s="89"/>
      <c r="F965" s="89"/>
      <c r="G965" s="23"/>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c r="AJ965" s="285"/>
      <c r="AK965" s="285"/>
    </row>
    <row r="966" spans="1:37" s="24" customFormat="1" ht="15">
      <c r="A966" s="119"/>
      <c r="B966" s="110"/>
      <c r="C966" s="89"/>
      <c r="D966" s="89"/>
      <c r="E966" s="89"/>
      <c r="F966" s="89"/>
      <c r="G966" s="23"/>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c r="AJ966" s="285"/>
      <c r="AK966" s="285"/>
    </row>
    <row r="967" spans="1:37" s="24" customFormat="1" ht="15">
      <c r="A967" s="119"/>
      <c r="B967" s="110"/>
      <c r="C967" s="89"/>
      <c r="D967" s="89"/>
      <c r="E967" s="89"/>
      <c r="F967" s="89"/>
      <c r="G967" s="23"/>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c r="AJ967" s="285"/>
      <c r="AK967" s="285"/>
    </row>
    <row r="968" spans="1:37" s="24" customFormat="1" ht="15">
      <c r="A968" s="119"/>
      <c r="B968" s="110"/>
      <c r="C968" s="89"/>
      <c r="D968" s="89"/>
      <c r="E968" s="89"/>
      <c r="F968" s="89"/>
      <c r="G968" s="23"/>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c r="AJ968" s="285"/>
      <c r="AK968" s="285"/>
    </row>
    <row r="969" spans="1:37" s="24" customFormat="1" ht="15">
      <c r="A969" s="119"/>
      <c r="B969" s="110"/>
      <c r="C969" s="89"/>
      <c r="D969" s="89"/>
      <c r="E969" s="89"/>
      <c r="F969" s="89"/>
      <c r="G969" s="23"/>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c r="AJ969" s="285"/>
      <c r="AK969" s="285"/>
    </row>
    <row r="970" spans="1:37" s="24" customFormat="1" ht="15">
      <c r="A970" s="119"/>
      <c r="B970" s="110"/>
      <c r="C970" s="89"/>
      <c r="D970" s="89"/>
      <c r="E970" s="89"/>
      <c r="F970" s="89"/>
      <c r="G970" s="23"/>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c r="AJ970" s="285"/>
      <c r="AK970" s="285"/>
    </row>
    <row r="971" spans="1:37" s="24" customFormat="1" ht="15">
      <c r="A971" s="119"/>
      <c r="B971" s="110"/>
      <c r="C971" s="89"/>
      <c r="D971" s="89"/>
      <c r="E971" s="89"/>
      <c r="F971" s="89"/>
      <c r="G971" s="23"/>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c r="AJ971" s="285"/>
      <c r="AK971" s="285"/>
    </row>
    <row r="972" spans="1:37" s="24" customFormat="1" ht="15">
      <c r="A972" s="119"/>
      <c r="B972" s="110"/>
      <c r="C972" s="89"/>
      <c r="D972" s="89"/>
      <c r="E972" s="89"/>
      <c r="F972" s="89"/>
      <c r="G972" s="23"/>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c r="AJ972" s="285"/>
      <c r="AK972" s="285"/>
    </row>
    <row r="973" spans="1:37" s="24" customFormat="1" ht="15">
      <c r="A973" s="119"/>
      <c r="B973" s="110"/>
      <c r="C973" s="89"/>
      <c r="D973" s="89"/>
      <c r="E973" s="89"/>
      <c r="F973" s="89"/>
      <c r="G973" s="23"/>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c r="AJ973" s="285"/>
      <c r="AK973" s="285"/>
    </row>
    <row r="974" spans="1:37" s="24" customFormat="1" ht="15">
      <c r="A974" s="119"/>
      <c r="B974" s="110"/>
      <c r="C974" s="89"/>
      <c r="D974" s="89"/>
      <c r="E974" s="89"/>
      <c r="F974" s="89"/>
      <c r="G974" s="23"/>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5"/>
      <c r="AK974" s="285"/>
    </row>
    <row r="975" spans="1:37" s="24" customFormat="1" ht="15">
      <c r="A975" s="119"/>
      <c r="B975" s="110"/>
      <c r="C975" s="89"/>
      <c r="D975" s="89"/>
      <c r="E975" s="89"/>
      <c r="F975" s="89"/>
      <c r="G975" s="23"/>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row>
    <row r="976" spans="1:37" s="24" customFormat="1" ht="15">
      <c r="A976" s="119"/>
      <c r="B976" s="110"/>
      <c r="C976" s="89"/>
      <c r="D976" s="89"/>
      <c r="E976" s="89"/>
      <c r="F976" s="89"/>
      <c r="G976" s="23"/>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c r="AJ976" s="285"/>
      <c r="AK976" s="285"/>
    </row>
    <row r="977" spans="1:37" s="24" customFormat="1" ht="15">
      <c r="A977" s="119"/>
      <c r="B977" s="110"/>
      <c r="C977" s="89"/>
      <c r="D977" s="89"/>
      <c r="E977" s="89"/>
      <c r="F977" s="89"/>
      <c r="G977" s="23"/>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c r="AJ977" s="285"/>
      <c r="AK977" s="285"/>
    </row>
    <row r="978" spans="1:37" s="24" customFormat="1" ht="15">
      <c r="A978" s="119"/>
      <c r="B978" s="110"/>
      <c r="C978" s="89"/>
      <c r="D978" s="89"/>
      <c r="E978" s="89"/>
      <c r="F978" s="89"/>
      <c r="G978" s="23"/>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c r="AJ978" s="285"/>
      <c r="AK978" s="285"/>
    </row>
    <row r="979" spans="1:37" s="24" customFormat="1" ht="15">
      <c r="A979" s="119"/>
      <c r="B979" s="110"/>
      <c r="C979" s="89"/>
      <c r="D979" s="89"/>
      <c r="E979" s="89"/>
      <c r="F979" s="89"/>
      <c r="G979" s="23"/>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c r="AJ979" s="285"/>
      <c r="AK979" s="285"/>
    </row>
    <row r="980" spans="1:37" s="24" customFormat="1" ht="15">
      <c r="A980" s="119"/>
      <c r="B980" s="110"/>
      <c r="C980" s="89"/>
      <c r="D980" s="89"/>
      <c r="E980" s="89"/>
      <c r="F980" s="89"/>
      <c r="G980" s="23"/>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row>
    <row r="981" spans="1:37" s="24" customFormat="1" ht="15">
      <c r="A981" s="119"/>
      <c r="B981" s="110"/>
      <c r="C981" s="89"/>
      <c r="D981" s="89"/>
      <c r="E981" s="89"/>
      <c r="F981" s="89"/>
      <c r="G981" s="23"/>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c r="AJ981" s="285"/>
      <c r="AK981" s="285"/>
    </row>
    <row r="982" spans="1:37" s="24" customFormat="1" ht="15">
      <c r="A982" s="119"/>
      <c r="B982" s="110"/>
      <c r="C982" s="89"/>
      <c r="D982" s="89"/>
      <c r="E982" s="89"/>
      <c r="F982" s="89"/>
      <c r="G982" s="23"/>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c r="AJ982" s="285"/>
      <c r="AK982" s="285"/>
    </row>
    <row r="983" spans="1:37" s="24" customFormat="1" ht="15">
      <c r="A983" s="119"/>
      <c r="B983" s="110"/>
      <c r="C983" s="89"/>
      <c r="D983" s="89"/>
      <c r="E983" s="89"/>
      <c r="F983" s="89"/>
      <c r="G983" s="23"/>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c r="AJ983" s="285"/>
      <c r="AK983" s="285"/>
    </row>
    <row r="984" spans="1:37" s="24" customFormat="1" ht="15">
      <c r="A984" s="119"/>
      <c r="B984" s="110"/>
      <c r="C984" s="89"/>
      <c r="D984" s="89"/>
      <c r="E984" s="89"/>
      <c r="F984" s="89"/>
      <c r="G984" s="23"/>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row>
    <row r="985" spans="1:37" s="24" customFormat="1" ht="15">
      <c r="A985" s="119"/>
      <c r="B985" s="110"/>
      <c r="C985" s="89"/>
      <c r="D985" s="89"/>
      <c r="E985" s="89"/>
      <c r="F985" s="89"/>
      <c r="G985" s="23"/>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c r="AJ985" s="285"/>
      <c r="AK985" s="285"/>
    </row>
    <row r="986" spans="1:37" s="24" customFormat="1" ht="15">
      <c r="A986" s="119"/>
      <c r="B986" s="110"/>
      <c r="C986" s="89"/>
      <c r="D986" s="89"/>
      <c r="E986" s="89"/>
      <c r="F986" s="89"/>
      <c r="G986" s="23"/>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c r="AJ986" s="285"/>
      <c r="AK986" s="285"/>
    </row>
    <row r="987" spans="1:37" s="24" customFormat="1" ht="15">
      <c r="A987" s="119"/>
      <c r="B987" s="110"/>
      <c r="C987" s="89"/>
      <c r="D987" s="89"/>
      <c r="E987" s="89"/>
      <c r="F987" s="89"/>
      <c r="G987" s="23"/>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c r="AJ987" s="285"/>
      <c r="AK987" s="285"/>
    </row>
    <row r="988" spans="1:37" s="24" customFormat="1" ht="15">
      <c r="A988" s="119"/>
      <c r="B988" s="110"/>
      <c r="C988" s="89"/>
      <c r="D988" s="89"/>
      <c r="E988" s="89"/>
      <c r="F988" s="89"/>
      <c r="G988" s="23"/>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c r="AJ988" s="285"/>
      <c r="AK988" s="285"/>
    </row>
    <row r="989" spans="1:37" s="24" customFormat="1" ht="15">
      <c r="A989" s="119"/>
      <c r="B989" s="110"/>
      <c r="C989" s="89"/>
      <c r="D989" s="89"/>
      <c r="E989" s="89"/>
      <c r="F989" s="89"/>
      <c r="G989" s="23"/>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c r="AJ989" s="285"/>
      <c r="AK989" s="285"/>
    </row>
    <row r="990" spans="1:37" s="24" customFormat="1" ht="15">
      <c r="A990" s="119"/>
      <c r="B990" s="110"/>
      <c r="C990" s="89"/>
      <c r="D990" s="89"/>
      <c r="E990" s="89"/>
      <c r="F990" s="89"/>
      <c r="G990" s="23"/>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c r="AJ990" s="285"/>
      <c r="AK990" s="285"/>
    </row>
    <row r="991" spans="1:37" s="24" customFormat="1" ht="15">
      <c r="A991" s="119"/>
      <c r="B991" s="110"/>
      <c r="C991" s="89"/>
      <c r="D991" s="89"/>
      <c r="E991" s="89"/>
      <c r="F991" s="89"/>
      <c r="G991" s="23"/>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c r="AJ991" s="285"/>
      <c r="AK991" s="285"/>
    </row>
    <row r="992" spans="1:37" s="24" customFormat="1" ht="15">
      <c r="A992" s="119"/>
      <c r="B992" s="110"/>
      <c r="C992" s="89"/>
      <c r="D992" s="89"/>
      <c r="E992" s="89"/>
      <c r="F992" s="89"/>
      <c r="G992" s="23"/>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c r="AJ992" s="285"/>
      <c r="AK992" s="285"/>
    </row>
    <row r="993" spans="1:37" s="24" customFormat="1" ht="15">
      <c r="A993" s="119"/>
      <c r="B993" s="110"/>
      <c r="C993" s="89"/>
      <c r="D993" s="89"/>
      <c r="E993" s="89"/>
      <c r="F993" s="89"/>
      <c r="G993" s="23"/>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c r="AJ993" s="285"/>
      <c r="AK993" s="285"/>
    </row>
    <row r="994" spans="1:37" s="24" customFormat="1" ht="15">
      <c r="A994" s="119"/>
      <c r="B994" s="110"/>
      <c r="C994" s="89"/>
      <c r="D994" s="89"/>
      <c r="E994" s="89"/>
      <c r="F994" s="89"/>
      <c r="G994" s="23"/>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c r="AJ994" s="285"/>
      <c r="AK994" s="285"/>
    </row>
    <row r="995" spans="1:37" s="24" customFormat="1" ht="15">
      <c r="A995" s="119"/>
      <c r="B995" s="110"/>
      <c r="C995" s="89"/>
      <c r="D995" s="89"/>
      <c r="E995" s="89"/>
      <c r="F995" s="89"/>
      <c r="G995" s="23"/>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c r="AJ995" s="285"/>
      <c r="AK995" s="285"/>
    </row>
    <row r="996" spans="1:37" s="24" customFormat="1" ht="15">
      <c r="A996" s="119"/>
      <c r="B996" s="110"/>
      <c r="C996" s="89"/>
      <c r="D996" s="89"/>
      <c r="E996" s="89"/>
      <c r="F996" s="89"/>
      <c r="G996" s="23"/>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row>
    <row r="997" spans="1:37" s="24" customFormat="1" ht="15">
      <c r="A997" s="119"/>
      <c r="B997" s="110"/>
      <c r="C997" s="89"/>
      <c r="D997" s="89"/>
      <c r="E997" s="89"/>
      <c r="F997" s="89"/>
      <c r="G997" s="23"/>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row>
    <row r="998" spans="1:37" s="24" customFormat="1" ht="15">
      <c r="A998" s="119"/>
      <c r="B998" s="110"/>
      <c r="C998" s="89"/>
      <c r="D998" s="89"/>
      <c r="E998" s="89"/>
      <c r="F998" s="89"/>
      <c r="G998" s="23"/>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row>
    <row r="999" spans="1:37" s="24" customFormat="1" ht="15">
      <c r="A999" s="119"/>
      <c r="B999" s="110"/>
      <c r="C999" s="89"/>
      <c r="D999" s="89"/>
      <c r="E999" s="89"/>
      <c r="F999" s="89"/>
      <c r="G999" s="23"/>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row>
    <row r="1000" spans="1:37" s="24" customFormat="1" ht="15">
      <c r="A1000" s="119"/>
      <c r="B1000" s="110"/>
      <c r="C1000" s="89"/>
      <c r="D1000" s="89"/>
      <c r="E1000" s="89"/>
      <c r="F1000" s="89"/>
      <c r="G1000" s="23"/>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row>
    <row r="1001" spans="1:37" ht="12.75" customHeight="1" thickBot="1">
      <c r="A1001" s="120"/>
      <c r="B1001" s="480" t="str">
        <f ca="1">OFFSET(L!$C$1,MATCH("General"&amp;"Cpy",L!$A:$A,0)-1,SL,,)</f>
        <v>© 2025 Responsible Minerals Initiative. All rights reserved.</v>
      </c>
      <c r="C1001" s="480"/>
      <c r="D1001" s="480"/>
      <c r="E1001" s="480"/>
      <c r="F1001" s="480"/>
      <c r="G1001" s="22"/>
    </row>
    <row r="1002" spans="1:37" ht="13.2" thickTop="1">
      <c r="F1002" s="92"/>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78.90625" style="156" hidden="1" customWidth="1"/>
    <col min="12" max="12" width="17.45312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20010</v>
      </c>
      <c r="C5" s="156" t="s">
        <v>20010</v>
      </c>
      <c r="D5" s="284" t="s">
        <v>65</v>
      </c>
      <c r="E5" s="284" t="s">
        <v>12096</v>
      </c>
      <c r="F5" s="157" t="s">
        <v>12</v>
      </c>
      <c r="H5" s="284" t="s">
        <v>12099</v>
      </c>
      <c r="I5" s="284" t="s">
        <v>122</v>
      </c>
      <c r="J5" s="156" t="str">
        <f>A5&amp;B5</f>
        <v>CobaltAdvanced Materials Production Plant (Qingyuan Industrial Park)</v>
      </c>
      <c r="K5" s="156" t="str">
        <f>A5&amp;B5</f>
        <v>CobaltAdvanced Materials Production Plant (Qingyuan Industrial Park)</v>
      </c>
    </row>
    <row r="6" spans="1:13">
      <c r="A6" s="156" t="s">
        <v>40</v>
      </c>
      <c r="B6" s="156" t="s">
        <v>12228</v>
      </c>
      <c r="C6" s="156" t="s">
        <v>12228</v>
      </c>
      <c r="D6" s="284" t="s">
        <v>65</v>
      </c>
      <c r="E6" s="284" t="s">
        <v>12078</v>
      </c>
      <c r="F6" s="157" t="s">
        <v>12</v>
      </c>
      <c r="H6" s="284" t="s">
        <v>12079</v>
      </c>
      <c r="I6" s="284" t="s">
        <v>68</v>
      </c>
      <c r="J6" s="156" t="str">
        <f t="shared" ref="J6:J69" si="0">A6&amp;B6</f>
        <v>CobaltAnhui Hanrui New Material Co., Ltd.</v>
      </c>
      <c r="K6" s="156" t="str">
        <f t="shared" ref="K6:K69" si="1">A6&amp;B6</f>
        <v>CobaltAnhui Hanrui New Material Co., Ltd.</v>
      </c>
    </row>
    <row r="7" spans="1:13">
      <c r="A7" s="156" t="s">
        <v>40</v>
      </c>
      <c r="B7" s="156" t="s">
        <v>12271</v>
      </c>
      <c r="C7" s="156" t="s">
        <v>12271</v>
      </c>
      <c r="D7" s="284" t="s">
        <v>305</v>
      </c>
      <c r="E7" s="284" t="s">
        <v>12272</v>
      </c>
      <c r="F7" s="157" t="s">
        <v>12</v>
      </c>
      <c r="H7" s="284" t="s">
        <v>12273</v>
      </c>
      <c r="I7" s="284" t="s">
        <v>12268</v>
      </c>
      <c r="J7" s="156" t="str">
        <f t="shared" si="0"/>
        <v>CobaltAttero Recycling Pvt Ltd</v>
      </c>
      <c r="K7" s="156" t="str">
        <f t="shared" si="1"/>
        <v>CobaltAttero Recycling Pvt Ltd</v>
      </c>
    </row>
    <row r="8" spans="1:13">
      <c r="A8" s="156" t="s">
        <v>40</v>
      </c>
      <c r="B8" s="156" t="s">
        <v>59</v>
      </c>
      <c r="C8" s="156" t="s">
        <v>59</v>
      </c>
      <c r="D8" s="284" t="s">
        <v>60</v>
      </c>
      <c r="E8" s="284" t="s">
        <v>61</v>
      </c>
      <c r="F8" s="157" t="s">
        <v>12</v>
      </c>
      <c r="H8" s="284" t="s">
        <v>62</v>
      </c>
      <c r="I8" s="284" t="s">
        <v>63</v>
      </c>
      <c r="J8" s="156" t="str">
        <f t="shared" si="0"/>
        <v>CobaltChemaf Etoile</v>
      </c>
      <c r="K8" s="156" t="str">
        <f t="shared" si="1"/>
        <v>CobaltChemaf Etoile</v>
      </c>
    </row>
    <row r="9" spans="1:13">
      <c r="A9" s="156" t="s">
        <v>40</v>
      </c>
      <c r="B9" s="156" t="s">
        <v>64</v>
      </c>
      <c r="C9" s="156" t="s">
        <v>64</v>
      </c>
      <c r="D9" s="284" t="s">
        <v>65</v>
      </c>
      <c r="E9" s="284" t="s">
        <v>66</v>
      </c>
      <c r="F9" s="157" t="s">
        <v>12</v>
      </c>
      <c r="H9" s="284" t="s">
        <v>67</v>
      </c>
      <c r="I9" s="284" t="s">
        <v>68</v>
      </c>
      <c r="J9" s="156" t="str">
        <f t="shared" si="0"/>
        <v>CobaltChizhou CN New Materials and Technology Co., Ltd.</v>
      </c>
      <c r="K9" s="156" t="str">
        <f t="shared" si="1"/>
        <v>CobaltChizhou CN New Materials and Technology Co., Ltd.</v>
      </c>
    </row>
    <row r="10" spans="1:13">
      <c r="A10" s="156" t="s">
        <v>40</v>
      </c>
      <c r="B10" s="156" t="s">
        <v>69</v>
      </c>
      <c r="C10" s="156" t="s">
        <v>64</v>
      </c>
      <c r="D10" s="284" t="s">
        <v>65</v>
      </c>
      <c r="E10" s="284" t="s">
        <v>66</v>
      </c>
      <c r="F10" s="157" t="s">
        <v>12</v>
      </c>
      <c r="H10" s="284" t="s">
        <v>67</v>
      </c>
      <c r="I10" s="284" t="s">
        <v>68</v>
      </c>
      <c r="J10" s="156" t="str">
        <f t="shared" si="0"/>
        <v>CobaltChizhou Xi’en New Material Technology Co., Ltd.</v>
      </c>
      <c r="K10" s="156" t="str">
        <f t="shared" si="1"/>
        <v>CobaltChizhou Xi’en New Material Technology Co., Ltd.</v>
      </c>
    </row>
    <row r="11" spans="1:13">
      <c r="A11" s="156" t="s">
        <v>40</v>
      </c>
      <c r="B11" s="156" t="s">
        <v>19187</v>
      </c>
      <c r="C11" s="156" t="s">
        <v>19187</v>
      </c>
      <c r="D11" s="284" t="s">
        <v>60</v>
      </c>
      <c r="E11" s="284" t="s">
        <v>19188</v>
      </c>
      <c r="F11" s="157" t="s">
        <v>12</v>
      </c>
      <c r="H11" s="284" t="s">
        <v>19212</v>
      </c>
      <c r="I11" s="284" t="s">
        <v>180</v>
      </c>
      <c r="J11" s="156" t="str">
        <f t="shared" si="0"/>
        <v>CobaltCMOC Kisanfu Mining SARL</v>
      </c>
      <c r="K11" s="156" t="str">
        <f t="shared" si="1"/>
        <v>CobaltCMOC Kisanfu Mining SARL</v>
      </c>
    </row>
    <row r="12" spans="1:13">
      <c r="A12" s="156" t="s">
        <v>40</v>
      </c>
      <c r="B12" s="156" t="s">
        <v>19189</v>
      </c>
      <c r="C12" s="156" t="s">
        <v>18724</v>
      </c>
      <c r="D12" s="284" t="s">
        <v>60</v>
      </c>
      <c r="E12" s="284" t="s">
        <v>19190</v>
      </c>
      <c r="F12" s="157" t="s">
        <v>12</v>
      </c>
      <c r="H12" s="284" t="s">
        <v>179</v>
      </c>
      <c r="I12" s="284" t="s">
        <v>180</v>
      </c>
      <c r="J12" s="156" t="str">
        <f t="shared" si="0"/>
        <v>CobaltCOMMUS</v>
      </c>
      <c r="K12" s="156" t="str">
        <f t="shared" si="1"/>
        <v>CobaltCOMMUS</v>
      </c>
    </row>
    <row r="13" spans="1:13">
      <c r="A13" s="156" t="s">
        <v>40</v>
      </c>
      <c r="B13" s="156" t="s">
        <v>70</v>
      </c>
      <c r="C13" s="156" t="s">
        <v>70</v>
      </c>
      <c r="D13" s="284" t="s">
        <v>71</v>
      </c>
      <c r="E13" s="284" t="s">
        <v>72</v>
      </c>
      <c r="F13" s="157" t="s">
        <v>12</v>
      </c>
      <c r="H13" s="284" t="s">
        <v>73</v>
      </c>
      <c r="I13" s="284" t="s">
        <v>7391</v>
      </c>
      <c r="J13" s="156" t="str">
        <f t="shared" si="0"/>
        <v>CobaltCompagnie de Tifnout Tiranimine</v>
      </c>
      <c r="K13" s="156" t="str">
        <f t="shared" si="1"/>
        <v>CobaltCompagnie de Tifnout Tiranimine</v>
      </c>
    </row>
    <row r="14" spans="1:13">
      <c r="A14" s="156" t="s">
        <v>40</v>
      </c>
      <c r="B14" s="156" t="s">
        <v>18724</v>
      </c>
      <c r="C14" s="156" t="s">
        <v>18724</v>
      </c>
      <c r="D14" s="284" t="s">
        <v>60</v>
      </c>
      <c r="E14" s="284" t="s">
        <v>19190</v>
      </c>
      <c r="F14" s="157" t="s">
        <v>12</v>
      </c>
      <c r="H14" s="284" t="s">
        <v>179</v>
      </c>
      <c r="I14" s="284" t="s">
        <v>180</v>
      </c>
      <c r="J14" s="156" t="str">
        <f t="shared" si="0"/>
        <v>CobaltCompagnie Miniere de Musonoie Global SAS</v>
      </c>
      <c r="K14" s="156" t="str">
        <f t="shared" si="1"/>
        <v>CobaltCompagnie Miniere de Musonoie Global SAS</v>
      </c>
    </row>
    <row r="15" spans="1:13">
      <c r="A15" s="156" t="s">
        <v>40</v>
      </c>
      <c r="B15" s="156" t="s">
        <v>19191</v>
      </c>
      <c r="C15" s="156" t="s">
        <v>18724</v>
      </c>
      <c r="D15" s="284" t="s">
        <v>60</v>
      </c>
      <c r="E15" s="284" t="s">
        <v>19190</v>
      </c>
      <c r="F15" s="157" t="s">
        <v>12</v>
      </c>
      <c r="H15" s="284" t="s">
        <v>179</v>
      </c>
      <c r="I15" s="284" t="s">
        <v>180</v>
      </c>
      <c r="J15" s="156" t="str">
        <f t="shared" si="0"/>
        <v>CobaltCompagnie Minière de Musonoïe Global SAS</v>
      </c>
      <c r="K15" s="156" t="str">
        <f t="shared" si="1"/>
        <v>CobaltCompagnie Minière de Musonoïe Global SAS</v>
      </c>
    </row>
    <row r="16" spans="1:13">
      <c r="A16" s="156" t="s">
        <v>40</v>
      </c>
      <c r="B16" s="156" t="s">
        <v>74</v>
      </c>
      <c r="C16" s="156" t="s">
        <v>70</v>
      </c>
      <c r="D16" s="284" t="s">
        <v>71</v>
      </c>
      <c r="E16" s="284" t="s">
        <v>72</v>
      </c>
      <c r="F16" s="157" t="s">
        <v>12</v>
      </c>
      <c r="H16" s="284" t="s">
        <v>73</v>
      </c>
      <c r="I16" s="284" t="s">
        <v>7391</v>
      </c>
      <c r="J16" s="156" t="str">
        <f t="shared" si="0"/>
        <v>CobaltComplexe hydrométallurgique de Guemassa</v>
      </c>
      <c r="K16" s="156" t="str">
        <f t="shared" si="1"/>
        <v>CobaltComplexe hydrométallurgique de Guemassa</v>
      </c>
    </row>
    <row r="17" spans="1:11">
      <c r="A17" s="156" t="s">
        <v>40</v>
      </c>
      <c r="B17" s="156" t="s">
        <v>19192</v>
      </c>
      <c r="C17" s="156" t="s">
        <v>18914</v>
      </c>
      <c r="D17" s="284" t="s">
        <v>1679</v>
      </c>
      <c r="E17" s="284" t="s">
        <v>19193</v>
      </c>
      <c r="F17" s="157" t="s">
        <v>12</v>
      </c>
      <c r="H17" s="284" t="s">
        <v>19213</v>
      </c>
      <c r="I17" s="284" t="s">
        <v>9137</v>
      </c>
      <c r="J17" s="156" t="str">
        <f t="shared" si="0"/>
        <v>CobaltCoral Bay Nickel Corp.</v>
      </c>
      <c r="K17" s="156" t="str">
        <f t="shared" si="1"/>
        <v>CobaltCoral Bay Nickel Corp.</v>
      </c>
    </row>
    <row r="18" spans="1:11">
      <c r="A18" s="156" t="s">
        <v>40</v>
      </c>
      <c r="B18" s="156" t="s">
        <v>18914</v>
      </c>
      <c r="C18" s="156" t="s">
        <v>18914</v>
      </c>
      <c r="D18" s="284" t="s">
        <v>1679</v>
      </c>
      <c r="E18" s="284" t="s">
        <v>19193</v>
      </c>
      <c r="F18" s="157" t="s">
        <v>12</v>
      </c>
      <c r="H18" s="284" t="s">
        <v>19213</v>
      </c>
      <c r="I18" s="284" t="s">
        <v>9137</v>
      </c>
      <c r="J18" s="156" t="str">
        <f t="shared" si="0"/>
        <v>CobaltCoral Bay Nickel Corporation (CBNC)</v>
      </c>
      <c r="K18" s="156" t="str">
        <f t="shared" si="1"/>
        <v>CobaltCoral Bay Nickel Corporation (CBNC)</v>
      </c>
    </row>
    <row r="19" spans="1:11">
      <c r="A19" s="156" t="s">
        <v>40</v>
      </c>
      <c r="B19" s="156" t="s">
        <v>75</v>
      </c>
      <c r="C19" s="156" t="s">
        <v>19194</v>
      </c>
      <c r="D19" s="284" t="s">
        <v>76</v>
      </c>
      <c r="E19" s="284" t="s">
        <v>77</v>
      </c>
      <c r="F19" s="157" t="s">
        <v>12</v>
      </c>
      <c r="H19" s="284" t="s">
        <v>78</v>
      </c>
      <c r="I19" s="284" t="s">
        <v>79</v>
      </c>
      <c r="J19" s="156" t="str">
        <f t="shared" si="0"/>
        <v>CobaltCoreMax Corporation</v>
      </c>
      <c r="K19" s="156" t="str">
        <f t="shared" si="1"/>
        <v>CobaltCoreMax Corporation</v>
      </c>
    </row>
    <row r="20" spans="1:11">
      <c r="A20" s="156" t="s">
        <v>40</v>
      </c>
      <c r="B20" s="156" t="s">
        <v>80</v>
      </c>
      <c r="C20" s="156" t="s">
        <v>80</v>
      </c>
      <c r="D20" s="284" t="s">
        <v>81</v>
      </c>
      <c r="E20" s="284" t="s">
        <v>82</v>
      </c>
      <c r="F20" s="157" t="s">
        <v>12</v>
      </c>
      <c r="H20" s="284" t="s">
        <v>83</v>
      </c>
      <c r="I20" s="284" t="s">
        <v>84</v>
      </c>
      <c r="J20" s="156" t="str">
        <f t="shared" si="0"/>
        <v>CobaltCosmo Chemical, Ltd.</v>
      </c>
      <c r="K20" s="156" t="str">
        <f t="shared" si="1"/>
        <v>CobaltCosmo Chemical, Ltd.</v>
      </c>
    </row>
    <row r="21" spans="1:11">
      <c r="A21" s="156" t="s">
        <v>40</v>
      </c>
      <c r="B21" s="156" t="s">
        <v>85</v>
      </c>
      <c r="C21" s="156" t="s">
        <v>80</v>
      </c>
      <c r="D21" s="284" t="s">
        <v>81</v>
      </c>
      <c r="E21" s="284" t="s">
        <v>82</v>
      </c>
      <c r="F21" s="157" t="s">
        <v>12</v>
      </c>
      <c r="H21" s="284" t="s">
        <v>83</v>
      </c>
      <c r="I21" s="284" t="s">
        <v>84</v>
      </c>
      <c r="J21" s="156" t="str">
        <f t="shared" si="0"/>
        <v>CobaltCosmo EcoChem Co., Ltd.</v>
      </c>
      <c r="K21" s="156" t="str">
        <f t="shared" si="1"/>
        <v>CobaltCosmo EcoChem Co., Ltd.</v>
      </c>
    </row>
    <row r="22" spans="1:11">
      <c r="A22" s="156" t="s">
        <v>40</v>
      </c>
      <c r="B22" s="156" t="s">
        <v>86</v>
      </c>
      <c r="C22" s="156" t="s">
        <v>86</v>
      </c>
      <c r="D22" s="284" t="s">
        <v>87</v>
      </c>
      <c r="E22" s="284" t="s">
        <v>88</v>
      </c>
      <c r="F22" s="157" t="s">
        <v>12</v>
      </c>
      <c r="H22" s="284" t="s">
        <v>89</v>
      </c>
      <c r="I22" s="284" t="s">
        <v>89</v>
      </c>
      <c r="J22" s="156" t="str">
        <f t="shared" si="0"/>
        <v>CobaltDynatec Madagascar Company</v>
      </c>
      <c r="K22" s="156" t="str">
        <f t="shared" si="1"/>
        <v>CobaltDynatec Madagascar Company</v>
      </c>
    </row>
    <row r="23" spans="1:11">
      <c r="A23" s="156" t="s">
        <v>40</v>
      </c>
      <c r="B23" s="156" t="s">
        <v>12274</v>
      </c>
      <c r="C23" s="156" t="s">
        <v>12274</v>
      </c>
      <c r="D23" s="284" t="s">
        <v>81</v>
      </c>
      <c r="E23" s="284" t="s">
        <v>12275</v>
      </c>
      <c r="F23" s="157" t="s">
        <v>12</v>
      </c>
      <c r="H23" s="284" t="s">
        <v>12276</v>
      </c>
      <c r="I23" s="284" t="s">
        <v>6458</v>
      </c>
      <c r="J23" s="156" t="str">
        <f t="shared" si="0"/>
        <v>CobaltEcopro Materials Co., Ltd.</v>
      </c>
      <c r="K23" s="156" t="str">
        <f t="shared" si="1"/>
        <v>CobaltEcopro Materials Co., Ltd.</v>
      </c>
    </row>
    <row r="24" spans="1:11">
      <c r="A24" s="156" t="s">
        <v>40</v>
      </c>
      <c r="B24" s="156" t="s">
        <v>12229</v>
      </c>
      <c r="C24" s="156" t="s">
        <v>12229</v>
      </c>
      <c r="D24" s="284" t="s">
        <v>1780</v>
      </c>
      <c r="E24" s="284" t="s">
        <v>12230</v>
      </c>
      <c r="F24" s="157" t="s">
        <v>12</v>
      </c>
      <c r="H24" s="284" t="s">
        <v>11020</v>
      </c>
      <c r="I24" s="284" t="s">
        <v>11020</v>
      </c>
      <c r="J24" s="156" t="str">
        <f t="shared" si="0"/>
        <v>CobaltEti Bakir A.S</v>
      </c>
      <c r="K24" s="156" t="str">
        <f t="shared" si="1"/>
        <v>CobaltEti Bakir A.S</v>
      </c>
    </row>
    <row r="25" spans="1:11">
      <c r="A25" s="156" t="s">
        <v>40</v>
      </c>
      <c r="B25" s="156" t="s">
        <v>20011</v>
      </c>
      <c r="C25" s="156" t="s">
        <v>12229</v>
      </c>
      <c r="D25" s="284" t="s">
        <v>1780</v>
      </c>
      <c r="E25" s="284" t="s">
        <v>12230</v>
      </c>
      <c r="F25" s="157" t="s">
        <v>12</v>
      </c>
      <c r="H25" s="284" t="s">
        <v>11020</v>
      </c>
      <c r="I25" s="284" t="s">
        <v>11020</v>
      </c>
      <c r="J25" s="156" t="str">
        <f t="shared" si="0"/>
        <v>CobaltEti Bakır A.S</v>
      </c>
      <c r="K25" s="156" t="str">
        <f t="shared" si="1"/>
        <v>CobaltEti Bakır A.S</v>
      </c>
    </row>
    <row r="26" spans="1:11">
      <c r="A26" s="156" t="s">
        <v>40</v>
      </c>
      <c r="B26" s="156" t="s">
        <v>20012</v>
      </c>
      <c r="C26" s="156" t="s">
        <v>12229</v>
      </c>
      <c r="D26" s="284" t="s">
        <v>1780</v>
      </c>
      <c r="E26" s="284" t="s">
        <v>12230</v>
      </c>
      <c r="F26" s="157" t="s">
        <v>12</v>
      </c>
      <c r="H26" s="284" t="s">
        <v>11020</v>
      </c>
      <c r="I26" s="284" t="s">
        <v>11020</v>
      </c>
      <c r="J26" s="156" t="str">
        <f t="shared" si="0"/>
        <v>CobaltEti Bakır A.Ş</v>
      </c>
      <c r="K26" s="156" t="str">
        <f t="shared" si="1"/>
        <v>CobaltEti Bakır A.Ş</v>
      </c>
    </row>
    <row r="27" spans="1:11">
      <c r="A27" s="156" t="s">
        <v>40</v>
      </c>
      <c r="B27" s="156" t="s">
        <v>12277</v>
      </c>
      <c r="C27" s="156" t="s">
        <v>12277</v>
      </c>
      <c r="D27" s="284" t="s">
        <v>60</v>
      </c>
      <c r="E27" s="284" t="s">
        <v>12278</v>
      </c>
      <c r="F27" s="157" t="s">
        <v>12</v>
      </c>
      <c r="H27" s="284" t="s">
        <v>12279</v>
      </c>
      <c r="I27" s="284" t="s">
        <v>63</v>
      </c>
      <c r="J27" s="156" t="str">
        <f t="shared" si="0"/>
        <v>CobaltExcellen Minerals SARL</v>
      </c>
      <c r="K27" s="156" t="str">
        <f t="shared" si="1"/>
        <v>CobaltExcellen Minerals SARL</v>
      </c>
    </row>
    <row r="28" spans="1:11">
      <c r="A28" s="156" t="s">
        <v>40</v>
      </c>
      <c r="B28" s="156" t="s">
        <v>90</v>
      </c>
      <c r="C28" s="156" t="s">
        <v>90</v>
      </c>
      <c r="D28" s="284" t="s">
        <v>65</v>
      </c>
      <c r="E28" s="284" t="s">
        <v>91</v>
      </c>
      <c r="F28" s="157" t="s">
        <v>12</v>
      </c>
      <c r="H28" s="284" t="s">
        <v>92</v>
      </c>
      <c r="I28" s="284" t="s">
        <v>93</v>
      </c>
      <c r="J28" s="156" t="str">
        <f t="shared" si="0"/>
        <v>CobaltFairsky Industrial Co., Limited</v>
      </c>
      <c r="K28" s="156" t="str">
        <f t="shared" si="1"/>
        <v>CobaltFairsky Industrial Co., Limited</v>
      </c>
    </row>
    <row r="29" spans="1:11">
      <c r="A29" s="156" t="s">
        <v>40</v>
      </c>
      <c r="B29" s="156" t="s">
        <v>94</v>
      </c>
      <c r="C29" s="156" t="s">
        <v>94</v>
      </c>
      <c r="D29" s="284" t="s">
        <v>95</v>
      </c>
      <c r="E29" s="284" t="s">
        <v>96</v>
      </c>
      <c r="F29" s="157" t="s">
        <v>12</v>
      </c>
      <c r="H29" s="284" t="s">
        <v>97</v>
      </c>
      <c r="I29" s="284" t="s">
        <v>98</v>
      </c>
      <c r="J29" s="156" t="str">
        <f t="shared" si="0"/>
        <v>CobaltFort Saskatchewan Metals Facility</v>
      </c>
      <c r="K29" s="156" t="str">
        <f t="shared" si="1"/>
        <v>CobaltFort Saskatchewan Metals Facility</v>
      </c>
    </row>
    <row r="30" spans="1:11">
      <c r="A30" s="156" t="s">
        <v>40</v>
      </c>
      <c r="B30" s="156" t="s">
        <v>99</v>
      </c>
      <c r="C30" s="156" t="s">
        <v>100</v>
      </c>
      <c r="D30" s="284" t="s">
        <v>101</v>
      </c>
      <c r="E30" s="284" t="s">
        <v>102</v>
      </c>
      <c r="F30" s="157" t="s">
        <v>12</v>
      </c>
      <c r="H30" s="284" t="s">
        <v>103</v>
      </c>
      <c r="I30" s="284" t="s">
        <v>104</v>
      </c>
      <c r="J30" s="156" t="str">
        <f t="shared" si="0"/>
        <v>CobaltFreeport Kokkola</v>
      </c>
      <c r="K30" s="156" t="str">
        <f t="shared" si="1"/>
        <v>CobaltFreeport Kokkola</v>
      </c>
    </row>
    <row r="31" spans="1:11">
      <c r="A31" s="156" t="s">
        <v>40</v>
      </c>
      <c r="B31" s="156" t="s">
        <v>12081</v>
      </c>
      <c r="C31" s="156" t="s">
        <v>20013</v>
      </c>
      <c r="D31" s="284" t="s">
        <v>65</v>
      </c>
      <c r="E31" s="284" t="s">
        <v>12080</v>
      </c>
      <c r="F31" s="157" t="s">
        <v>12</v>
      </c>
      <c r="H31" s="284" t="s">
        <v>12082</v>
      </c>
      <c r="I31" s="284" t="s">
        <v>288</v>
      </c>
      <c r="J31" s="156" t="str">
        <f t="shared" si="0"/>
        <v>CobaltFujian Evergreen New Energy Technology Co.</v>
      </c>
      <c r="K31" s="156" t="str">
        <f t="shared" si="1"/>
        <v>CobaltFujian Evergreen New Energy Technology Co.</v>
      </c>
    </row>
    <row r="32" spans="1:11">
      <c r="A32" s="156" t="s">
        <v>40</v>
      </c>
      <c r="B32" s="156" t="s">
        <v>20013</v>
      </c>
      <c r="C32" s="156" t="s">
        <v>20013</v>
      </c>
      <c r="D32" s="284" t="s">
        <v>65</v>
      </c>
      <c r="E32" s="284" t="s">
        <v>12080</v>
      </c>
      <c r="F32" s="157" t="s">
        <v>12</v>
      </c>
      <c r="H32" s="284" t="s">
        <v>12082</v>
      </c>
      <c r="I32" s="284" t="s">
        <v>288</v>
      </c>
      <c r="J32" s="156" t="str">
        <f t="shared" si="0"/>
        <v>CobaltFujian Evergreen New Energy Technology Co., Ltd.</v>
      </c>
      <c r="K32" s="156" t="str">
        <f t="shared" si="1"/>
        <v>CobaltFujian Evergreen New Energy Technology Co., Ltd.</v>
      </c>
    </row>
    <row r="33" spans="1:11">
      <c r="A33" s="156" t="s">
        <v>40</v>
      </c>
      <c r="B33" s="156" t="s">
        <v>19262</v>
      </c>
      <c r="C33" s="156" t="s">
        <v>20014</v>
      </c>
      <c r="D33" s="284" t="s">
        <v>65</v>
      </c>
      <c r="E33" s="284" t="s">
        <v>19263</v>
      </c>
      <c r="F33" s="157" t="s">
        <v>12</v>
      </c>
      <c r="H33" s="284" t="s">
        <v>105</v>
      </c>
      <c r="I33" s="284" t="s">
        <v>20015</v>
      </c>
      <c r="J33" s="156" t="str">
        <f t="shared" si="0"/>
        <v>CobaltGangzhou Yi Hao Umicore Industry Co.</v>
      </c>
      <c r="K33" s="156" t="str">
        <f t="shared" si="1"/>
        <v>CobaltGangzhou Yi Hao Umicore Industry Co.</v>
      </c>
    </row>
    <row r="34" spans="1:11">
      <c r="A34" s="156" t="s">
        <v>40</v>
      </c>
      <c r="B34" s="156" t="s">
        <v>12280</v>
      </c>
      <c r="C34" s="156" t="s">
        <v>12281</v>
      </c>
      <c r="D34" s="284" t="s">
        <v>65</v>
      </c>
      <c r="E34" s="284" t="s">
        <v>12282</v>
      </c>
      <c r="F34" s="157" t="s">
        <v>12</v>
      </c>
      <c r="H34" s="284" t="s">
        <v>105</v>
      </c>
      <c r="I34" s="284" t="s">
        <v>106</v>
      </c>
      <c r="J34" s="156" t="str">
        <f t="shared" si="0"/>
        <v>CobaltGanzhou Hanrui</v>
      </c>
      <c r="K34" s="156" t="str">
        <f t="shared" si="1"/>
        <v>CobaltGanzhou Hanrui</v>
      </c>
    </row>
    <row r="35" spans="1:11">
      <c r="A35" s="156" t="s">
        <v>40</v>
      </c>
      <c r="B35" s="156" t="s">
        <v>12281</v>
      </c>
      <c r="C35" s="156" t="s">
        <v>12281</v>
      </c>
      <c r="D35" s="284" t="s">
        <v>65</v>
      </c>
      <c r="E35" s="284" t="s">
        <v>12282</v>
      </c>
      <c r="F35" s="157" t="s">
        <v>12</v>
      </c>
      <c r="H35" s="284" t="s">
        <v>105</v>
      </c>
      <c r="I35" s="284" t="s">
        <v>106</v>
      </c>
      <c r="J35" s="156" t="str">
        <f t="shared" si="0"/>
        <v>CobaltGanzhou Hanrui New Energy Technology Co., Ltd.</v>
      </c>
      <c r="K35" s="156" t="str">
        <f t="shared" si="1"/>
        <v>CobaltGanzhou Hanrui New Energy Technology Co., Ltd.</v>
      </c>
    </row>
    <row r="36" spans="1:11">
      <c r="A36" s="156" t="s">
        <v>40</v>
      </c>
      <c r="B36" s="156" t="s">
        <v>107</v>
      </c>
      <c r="C36" s="156" t="s">
        <v>107</v>
      </c>
      <c r="D36" s="284" t="s">
        <v>65</v>
      </c>
      <c r="E36" s="284" t="s">
        <v>108</v>
      </c>
      <c r="F36" s="157" t="s">
        <v>12</v>
      </c>
      <c r="H36" s="284" t="s">
        <v>105</v>
      </c>
      <c r="I36" s="284" t="s">
        <v>106</v>
      </c>
      <c r="J36" s="156" t="str">
        <f t="shared" si="0"/>
        <v>CobaltGanzhou Highpower Technology Co., Ltd.</v>
      </c>
      <c r="K36" s="156" t="str">
        <f t="shared" si="1"/>
        <v>CobaltGanzhou Highpower Technology Co., Ltd.</v>
      </c>
    </row>
    <row r="37" spans="1:11">
      <c r="A37" s="156" t="s">
        <v>40</v>
      </c>
      <c r="B37" s="156" t="s">
        <v>109</v>
      </c>
      <c r="C37" s="156" t="s">
        <v>109</v>
      </c>
      <c r="D37" s="284" t="s">
        <v>65</v>
      </c>
      <c r="E37" s="284" t="s">
        <v>110</v>
      </c>
      <c r="F37" s="157" t="s">
        <v>12</v>
      </c>
      <c r="H37" s="284" t="s">
        <v>105</v>
      </c>
      <c r="I37" s="284" t="s">
        <v>106</v>
      </c>
      <c r="J37" s="156" t="str">
        <f t="shared" si="0"/>
        <v>CobaltGanzhou Tengyuan Cobalt New Material Co., Ltd.</v>
      </c>
      <c r="K37" s="156" t="str">
        <f t="shared" si="1"/>
        <v>CobaltGanzhou Tengyuan Cobalt New Material Co., Ltd.</v>
      </c>
    </row>
    <row r="38" spans="1:11">
      <c r="A38" s="156" t="s">
        <v>40</v>
      </c>
      <c r="B38" s="156" t="s">
        <v>20014</v>
      </c>
      <c r="C38" s="156" t="s">
        <v>20014</v>
      </c>
      <c r="D38" s="284" t="s">
        <v>65</v>
      </c>
      <c r="E38" s="284" t="s">
        <v>19263</v>
      </c>
      <c r="F38" s="157" t="s">
        <v>12</v>
      </c>
      <c r="H38" s="284" t="s">
        <v>105</v>
      </c>
      <c r="I38" s="284" t="s">
        <v>20015</v>
      </c>
      <c r="J38" s="156" t="str">
        <f t="shared" si="0"/>
        <v>CobaltGanZhou Yihao Umicore Industries Co., Ltd</v>
      </c>
      <c r="K38" s="156" t="str">
        <f t="shared" si="1"/>
        <v>CobaltGanZhou Yihao Umicore Industries Co., Ltd</v>
      </c>
    </row>
    <row r="39" spans="1:11">
      <c r="A39" s="156" t="s">
        <v>40</v>
      </c>
      <c r="B39" s="156" t="s">
        <v>111</v>
      </c>
      <c r="C39" s="156" t="s">
        <v>111</v>
      </c>
      <c r="D39" s="284" t="s">
        <v>65</v>
      </c>
      <c r="E39" s="284" t="s">
        <v>112</v>
      </c>
      <c r="F39" s="157" t="s">
        <v>12</v>
      </c>
      <c r="H39" s="284" t="s">
        <v>113</v>
      </c>
      <c r="I39" s="284" t="s">
        <v>114</v>
      </c>
      <c r="J39" s="156" t="str">
        <f t="shared" si="0"/>
        <v>CobaltGem (Jiangsu) Cobalt Industry Co., Ltd.</v>
      </c>
      <c r="K39" s="156" t="str">
        <f t="shared" si="1"/>
        <v>CobaltGem (Jiangsu) Cobalt Industry Co., Ltd.</v>
      </c>
    </row>
    <row r="40" spans="1:11">
      <c r="A40" s="156" t="s">
        <v>40</v>
      </c>
      <c r="B40" s="156" t="s">
        <v>19195</v>
      </c>
      <c r="C40" s="156" t="s">
        <v>19195</v>
      </c>
      <c r="D40" s="284" t="s">
        <v>1577</v>
      </c>
      <c r="E40" s="284" t="s">
        <v>19196</v>
      </c>
      <c r="F40" s="157" t="s">
        <v>12</v>
      </c>
      <c r="H40" s="284" t="s">
        <v>19219</v>
      </c>
      <c r="I40" s="284" t="s">
        <v>19219</v>
      </c>
      <c r="J40" s="156" t="str">
        <f t="shared" si="0"/>
        <v>CobaltGLC (Laos) Metal Co. Ltd</v>
      </c>
      <c r="K40" s="156" t="str">
        <f t="shared" si="1"/>
        <v>CobaltGLC (Laos) Metal Co. Ltd</v>
      </c>
    </row>
    <row r="41" spans="1:11">
      <c r="A41" s="156" t="s">
        <v>40</v>
      </c>
      <c r="B41" s="156" t="s">
        <v>115</v>
      </c>
      <c r="C41" s="156" t="s">
        <v>115</v>
      </c>
      <c r="D41" s="284" t="s">
        <v>116</v>
      </c>
      <c r="E41" s="284" t="s">
        <v>117</v>
      </c>
      <c r="F41" s="157" t="s">
        <v>12</v>
      </c>
      <c r="H41" s="284" t="s">
        <v>118</v>
      </c>
      <c r="I41" s="284" t="s">
        <v>16388</v>
      </c>
      <c r="J41" s="156" t="str">
        <f t="shared" si="0"/>
        <v>CobaltGlencore Nikkelverk Refinery</v>
      </c>
      <c r="K41" s="156" t="str">
        <f t="shared" si="1"/>
        <v>CobaltGlencore Nikkelverk Refinery</v>
      </c>
    </row>
    <row r="42" spans="1:11">
      <c r="A42" s="156" t="s">
        <v>40</v>
      </c>
      <c r="B42" s="156" t="s">
        <v>12283</v>
      </c>
      <c r="C42" s="156" t="s">
        <v>12283</v>
      </c>
      <c r="D42" s="284" t="s">
        <v>65</v>
      </c>
      <c r="E42" s="284" t="s">
        <v>12083</v>
      </c>
      <c r="F42" s="157" t="s">
        <v>12</v>
      </c>
      <c r="H42" s="284" t="s">
        <v>12084</v>
      </c>
      <c r="I42" s="284" t="s">
        <v>122</v>
      </c>
      <c r="J42" s="156" t="str">
        <f t="shared" si="0"/>
        <v>CobaltGuangdong Fangyuan New Materials Group Co., Ltd.</v>
      </c>
      <c r="K42" s="156" t="str">
        <f t="shared" si="1"/>
        <v>CobaltGuangdong Fangyuan New Materials Group Co., Ltd.</v>
      </c>
    </row>
    <row r="43" spans="1:11">
      <c r="A43" s="156" t="s">
        <v>40</v>
      </c>
      <c r="B43" s="156" t="s">
        <v>119</v>
      </c>
      <c r="C43" s="156" t="s">
        <v>119</v>
      </c>
      <c r="D43" s="284" t="s">
        <v>65</v>
      </c>
      <c r="E43" s="284" t="s">
        <v>120</v>
      </c>
      <c r="F43" s="157" t="s">
        <v>12</v>
      </c>
      <c r="H43" s="284" t="s">
        <v>121</v>
      </c>
      <c r="I43" s="284" t="s">
        <v>122</v>
      </c>
      <c r="J43" s="156" t="str">
        <f t="shared" si="0"/>
        <v>CobaltGuangdong Jiana Energy Technology Co., Ltd.</v>
      </c>
      <c r="K43" s="156" t="str">
        <f t="shared" si="1"/>
        <v>CobaltGuangdong Jiana Energy Technology Co., Ltd.</v>
      </c>
    </row>
    <row r="44" spans="1:11">
      <c r="A44" s="156" t="s">
        <v>40</v>
      </c>
      <c r="B44" s="156" t="s">
        <v>12284</v>
      </c>
      <c r="C44" s="156" t="s">
        <v>12284</v>
      </c>
      <c r="D44" s="284" t="s">
        <v>65</v>
      </c>
      <c r="E44" s="284" t="s">
        <v>12285</v>
      </c>
      <c r="F44" s="157" t="s">
        <v>12</v>
      </c>
      <c r="H44" s="284" t="s">
        <v>12286</v>
      </c>
      <c r="I44" s="284" t="s">
        <v>126</v>
      </c>
      <c r="J44" s="156" t="str">
        <f t="shared" si="0"/>
        <v>CobaltGuangxi CNGR New Energy Science &amp; Technology Co., Ltd.</v>
      </c>
      <c r="K44" s="156" t="str">
        <f t="shared" si="1"/>
        <v>CobaltGuangxi CNGR New Energy Science &amp; Technology Co., Ltd.</v>
      </c>
    </row>
    <row r="45" spans="1:11">
      <c r="A45" s="156" t="s">
        <v>40</v>
      </c>
      <c r="B45" s="156" t="s">
        <v>123</v>
      </c>
      <c r="C45" s="156" t="s">
        <v>123</v>
      </c>
      <c r="D45" s="284" t="s">
        <v>65</v>
      </c>
      <c r="E45" s="284" t="s">
        <v>124</v>
      </c>
      <c r="F45" s="157" t="s">
        <v>12</v>
      </c>
      <c r="H45" s="284" t="s">
        <v>125</v>
      </c>
      <c r="I45" s="284" t="s">
        <v>126</v>
      </c>
      <c r="J45" s="156" t="str">
        <f t="shared" si="0"/>
        <v>CobaltGuangxi Yinyi Advanced Material Co., Ltd.</v>
      </c>
      <c r="K45" s="156" t="str">
        <f t="shared" si="1"/>
        <v>CobaltGuangxi Yinyi Advanced Material Co., Ltd.</v>
      </c>
    </row>
    <row r="46" spans="1:11">
      <c r="A46" s="156" t="s">
        <v>40</v>
      </c>
      <c r="B46" s="156" t="s">
        <v>127</v>
      </c>
      <c r="C46" s="156" t="s">
        <v>127</v>
      </c>
      <c r="D46" s="284" t="s">
        <v>65</v>
      </c>
      <c r="E46" s="284" t="s">
        <v>128</v>
      </c>
      <c r="F46" s="157" t="s">
        <v>12</v>
      </c>
      <c r="H46" s="284" t="s">
        <v>129</v>
      </c>
      <c r="I46" s="284" t="s">
        <v>130</v>
      </c>
      <c r="J46" s="156" t="str">
        <f t="shared" si="0"/>
        <v>CobaltGuizhou CNGR Resource Recycling Industry Development Co., Ltd.</v>
      </c>
      <c r="K46" s="156" t="str">
        <f t="shared" si="1"/>
        <v>CobaltGuizhou CNGR Resource Recycling Industry Development Co., Ltd.</v>
      </c>
    </row>
    <row r="47" spans="1:11">
      <c r="A47" s="156" t="s">
        <v>40</v>
      </c>
      <c r="B47" s="156" t="s">
        <v>12231</v>
      </c>
      <c r="C47" s="156" t="s">
        <v>12231</v>
      </c>
      <c r="D47" s="284" t="s">
        <v>65</v>
      </c>
      <c r="E47" s="284" t="s">
        <v>12232</v>
      </c>
      <c r="F47" s="157" t="s">
        <v>12</v>
      </c>
      <c r="H47" s="284" t="s">
        <v>129</v>
      </c>
      <c r="I47" s="284" t="s">
        <v>130</v>
      </c>
      <c r="J47" s="156" t="str">
        <f t="shared" si="0"/>
        <v>CobaltGuizhou Red Star Electronic Material Co., Ltd.</v>
      </c>
      <c r="K47" s="156" t="str">
        <f t="shared" si="1"/>
        <v>CobaltGuizhou Red Star Electronic Material Co., Ltd.</v>
      </c>
    </row>
    <row r="48" spans="1:11">
      <c r="A48" s="156" t="s">
        <v>40</v>
      </c>
      <c r="B48" s="156" t="s">
        <v>131</v>
      </c>
      <c r="C48" s="156" t="s">
        <v>132</v>
      </c>
      <c r="D48" s="284" t="s">
        <v>133</v>
      </c>
      <c r="E48" s="284" t="s">
        <v>134</v>
      </c>
      <c r="F48" s="157" t="s">
        <v>12</v>
      </c>
      <c r="H48" s="284" t="s">
        <v>135</v>
      </c>
      <c r="I48" s="284" t="s">
        <v>136</v>
      </c>
      <c r="J48" s="156" t="str">
        <f t="shared" si="0"/>
        <v>CobaltHarima Refinery</v>
      </c>
      <c r="K48" s="156" t="str">
        <f t="shared" si="1"/>
        <v>CobaltHarima Refinery</v>
      </c>
    </row>
    <row r="49" spans="1:11">
      <c r="A49" s="156" t="s">
        <v>40</v>
      </c>
      <c r="B49" s="156" t="s">
        <v>132</v>
      </c>
      <c r="C49" s="156" t="s">
        <v>132</v>
      </c>
      <c r="D49" s="284" t="s">
        <v>133</v>
      </c>
      <c r="E49" s="284" t="s">
        <v>134</v>
      </c>
      <c r="F49" s="157" t="s">
        <v>12</v>
      </c>
      <c r="H49" s="284" t="s">
        <v>135</v>
      </c>
      <c r="I49" s="284" t="s">
        <v>136</v>
      </c>
      <c r="J49" s="156" t="str">
        <f t="shared" si="0"/>
        <v>CobaltHarima Refinery, Sumitomo Metal Mining</v>
      </c>
      <c r="K49" s="156" t="str">
        <f t="shared" si="1"/>
        <v>CobaltHarima Refinery, Sumitomo Metal Mining</v>
      </c>
    </row>
    <row r="50" spans="1:11">
      <c r="A50" s="156" t="s">
        <v>40</v>
      </c>
      <c r="B50" s="156" t="s">
        <v>137</v>
      </c>
      <c r="C50" s="156" t="s">
        <v>137</v>
      </c>
      <c r="D50" s="284" t="s">
        <v>65</v>
      </c>
      <c r="E50" s="284" t="s">
        <v>138</v>
      </c>
      <c r="F50" s="157" t="s">
        <v>12</v>
      </c>
      <c r="H50" s="284" t="s">
        <v>139</v>
      </c>
      <c r="I50" s="284" t="s">
        <v>68</v>
      </c>
      <c r="J50" s="156" t="str">
        <f t="shared" si="0"/>
        <v>CobaltHefei Rongjie Metal Technology Co., Ltd.</v>
      </c>
      <c r="K50" s="156" t="str">
        <f t="shared" si="1"/>
        <v>CobaltHefei Rongjie Metal Technology Co., Ltd.</v>
      </c>
    </row>
    <row r="51" spans="1:11">
      <c r="A51" s="156" t="s">
        <v>40</v>
      </c>
      <c r="B51" s="156" t="s">
        <v>140</v>
      </c>
      <c r="C51" s="156" t="s">
        <v>140</v>
      </c>
      <c r="D51" s="284" t="s">
        <v>65</v>
      </c>
      <c r="E51" s="284" t="s">
        <v>141</v>
      </c>
      <c r="F51" s="157" t="s">
        <v>12</v>
      </c>
      <c r="H51" s="284" t="s">
        <v>142</v>
      </c>
      <c r="I51" s="284" t="s">
        <v>143</v>
      </c>
      <c r="J51" s="156" t="str">
        <f t="shared" si="0"/>
        <v>CobaltHunan Brunp Recycling Technology Co., Ltd.</v>
      </c>
      <c r="K51" s="156" t="str">
        <f t="shared" si="1"/>
        <v>CobaltHunan Brunp Recycling Technology Co., Ltd.</v>
      </c>
    </row>
    <row r="52" spans="1:11">
      <c r="A52" s="156" t="s">
        <v>40</v>
      </c>
      <c r="B52" s="156" t="s">
        <v>144</v>
      </c>
      <c r="C52" s="156" t="s">
        <v>144</v>
      </c>
      <c r="D52" s="284" t="s">
        <v>65</v>
      </c>
      <c r="E52" s="284" t="s">
        <v>145</v>
      </c>
      <c r="F52" s="157" t="s">
        <v>12</v>
      </c>
      <c r="H52" s="284" t="s">
        <v>142</v>
      </c>
      <c r="I52" s="284" t="s">
        <v>143</v>
      </c>
      <c r="J52" s="156" t="str">
        <f t="shared" si="0"/>
        <v>CobaltHunan CNGR New Energy Science &amp; Technology Co., Ltd.</v>
      </c>
      <c r="K52" s="156" t="str">
        <f t="shared" si="1"/>
        <v>CobaltHunan CNGR New Energy Science &amp; Technology Co., Ltd.</v>
      </c>
    </row>
    <row r="53" spans="1:11">
      <c r="A53" s="156" t="s">
        <v>40</v>
      </c>
      <c r="B53" s="156" t="s">
        <v>146</v>
      </c>
      <c r="C53" s="156" t="s">
        <v>144</v>
      </c>
      <c r="D53" s="284" t="s">
        <v>65</v>
      </c>
      <c r="E53" s="284" t="s">
        <v>145</v>
      </c>
      <c r="F53" s="157" t="s">
        <v>12</v>
      </c>
      <c r="H53" s="284" t="s">
        <v>142</v>
      </c>
      <c r="I53" s="284" t="s">
        <v>143</v>
      </c>
      <c r="J53" s="156" t="str">
        <f t="shared" si="0"/>
        <v>CobaltHunan Hina Advanced Material Co., Ltd.</v>
      </c>
      <c r="K53" s="156" t="str">
        <f t="shared" si="1"/>
        <v>CobaltHunan Hina Advanced Material Co., Ltd.</v>
      </c>
    </row>
    <row r="54" spans="1:11">
      <c r="A54" s="156" t="s">
        <v>40</v>
      </c>
      <c r="B54" s="156" t="s">
        <v>147</v>
      </c>
      <c r="C54" s="156" t="s">
        <v>147</v>
      </c>
      <c r="D54" s="284" t="s">
        <v>65</v>
      </c>
      <c r="E54" s="284" t="s">
        <v>148</v>
      </c>
      <c r="F54" s="157" t="s">
        <v>12</v>
      </c>
      <c r="H54" s="284" t="s">
        <v>149</v>
      </c>
      <c r="I54" s="284" t="s">
        <v>20016</v>
      </c>
      <c r="J54" s="156" t="str">
        <f t="shared" si="0"/>
        <v>CobaltHunan Jinxin New Material Holding Co., Ltd.</v>
      </c>
      <c r="K54" s="156" t="str">
        <f t="shared" si="1"/>
        <v>CobaltHunan Jinxin New Material Holding Co., Ltd.</v>
      </c>
    </row>
    <row r="55" spans="1:11">
      <c r="A55" s="156" t="s">
        <v>40</v>
      </c>
      <c r="B55" s="156" t="s">
        <v>12125</v>
      </c>
      <c r="C55" s="156" t="s">
        <v>147</v>
      </c>
      <c r="D55" s="284" t="s">
        <v>65</v>
      </c>
      <c r="E55" s="284" t="s">
        <v>148</v>
      </c>
      <c r="F55" s="157" t="s">
        <v>12</v>
      </c>
      <c r="H55" s="284" t="s">
        <v>149</v>
      </c>
      <c r="I55" s="284" t="s">
        <v>20016</v>
      </c>
      <c r="J55" s="156" t="str">
        <f t="shared" si="0"/>
        <v>CobaltHunan Jinxin New Materials Co., Ltd.</v>
      </c>
      <c r="K55" s="156" t="str">
        <f t="shared" si="1"/>
        <v>CobaltHunan Jinxin New Materials Co., Ltd.</v>
      </c>
    </row>
    <row r="56" spans="1:11">
      <c r="A56" s="156" t="s">
        <v>40</v>
      </c>
      <c r="B56" s="156" t="s">
        <v>150</v>
      </c>
      <c r="C56" s="156" t="s">
        <v>150</v>
      </c>
      <c r="D56" s="284" t="s">
        <v>65</v>
      </c>
      <c r="E56" s="284" t="s">
        <v>151</v>
      </c>
      <c r="F56" s="157" t="s">
        <v>12</v>
      </c>
      <c r="H56" s="284" t="s">
        <v>20017</v>
      </c>
      <c r="I56" s="284" t="s">
        <v>20016</v>
      </c>
      <c r="J56" s="156" t="str">
        <f t="shared" si="0"/>
        <v>CobaltHunan Shiji Yintian New Material Co., Ltd.</v>
      </c>
      <c r="K56" s="156" t="str">
        <f t="shared" si="1"/>
        <v>CobaltHunan Shiji Yintian New Material Co., Ltd.</v>
      </c>
    </row>
    <row r="57" spans="1:11">
      <c r="A57" s="156" t="s">
        <v>40</v>
      </c>
      <c r="B57" s="156" t="s">
        <v>19197</v>
      </c>
      <c r="C57" s="156" t="s">
        <v>19197</v>
      </c>
      <c r="D57" s="284" t="s">
        <v>65</v>
      </c>
      <c r="E57" s="284" t="s">
        <v>153</v>
      </c>
      <c r="F57" s="157" t="s">
        <v>12</v>
      </c>
      <c r="H57" s="284" t="s">
        <v>142</v>
      </c>
      <c r="I57" s="284" t="s">
        <v>143</v>
      </c>
      <c r="J57" s="156" t="str">
        <f t="shared" si="0"/>
        <v>CobaltHunan Yacheng New Energy Co., Ltd.</v>
      </c>
      <c r="K57" s="156" t="str">
        <f t="shared" si="1"/>
        <v>CobaltHunan Yacheng New Energy Co., Ltd.</v>
      </c>
    </row>
    <row r="58" spans="1:11">
      <c r="A58" s="156" t="s">
        <v>40</v>
      </c>
      <c r="B58" s="156" t="s">
        <v>152</v>
      </c>
      <c r="C58" s="156" t="s">
        <v>19197</v>
      </c>
      <c r="D58" s="284" t="s">
        <v>65</v>
      </c>
      <c r="E58" s="284" t="s">
        <v>153</v>
      </c>
      <c r="F58" s="157" t="s">
        <v>12</v>
      </c>
      <c r="H58" s="284" t="s">
        <v>142</v>
      </c>
      <c r="I58" s="284" t="s">
        <v>143</v>
      </c>
      <c r="J58" s="156" t="str">
        <f t="shared" si="0"/>
        <v>CobaltHunan Yacheng New Materials Co., Ltd.</v>
      </c>
      <c r="K58" s="156" t="str">
        <f t="shared" si="1"/>
        <v>CobaltHunan Yacheng New Materials Co., Ltd.</v>
      </c>
    </row>
    <row r="59" spans="1:11">
      <c r="A59" s="156" t="s">
        <v>40</v>
      </c>
      <c r="B59" s="156" t="s">
        <v>154</v>
      </c>
      <c r="C59" s="156" t="s">
        <v>144</v>
      </c>
      <c r="D59" s="284" t="s">
        <v>65</v>
      </c>
      <c r="E59" s="284" t="s">
        <v>145</v>
      </c>
      <c r="F59" s="157" t="s">
        <v>12</v>
      </c>
      <c r="H59" s="284" t="s">
        <v>142</v>
      </c>
      <c r="I59" s="284" t="s">
        <v>143</v>
      </c>
      <c r="J59" s="156" t="str">
        <f t="shared" si="0"/>
        <v>CobaltHunan Zoomwe New Energy Science &amp; Technology Co., Ltd.</v>
      </c>
      <c r="K59" s="156" t="str">
        <f t="shared" si="1"/>
        <v>CobaltHunan Zoomwe New Energy Science &amp; Technology Co., Ltd.</v>
      </c>
    </row>
    <row r="60" spans="1:11">
      <c r="A60" s="156" t="s">
        <v>40</v>
      </c>
      <c r="B60" s="156" t="s">
        <v>155</v>
      </c>
      <c r="C60" s="156" t="s">
        <v>155</v>
      </c>
      <c r="D60" s="284" t="s">
        <v>156</v>
      </c>
      <c r="E60" s="284" t="s">
        <v>157</v>
      </c>
      <c r="F60" s="157" t="s">
        <v>12</v>
      </c>
      <c r="H60" s="284" t="s">
        <v>158</v>
      </c>
      <c r="I60" s="284" t="s">
        <v>159</v>
      </c>
      <c r="J60" s="156" t="str">
        <f t="shared" si="0"/>
        <v>CobaltICoNiChem</v>
      </c>
      <c r="K60" s="156" t="str">
        <f t="shared" si="1"/>
        <v>CobaltICoNiChem</v>
      </c>
    </row>
    <row r="61" spans="1:11">
      <c r="A61" s="156" t="s">
        <v>40</v>
      </c>
      <c r="B61" s="156" t="s">
        <v>18740</v>
      </c>
      <c r="C61" s="156" t="s">
        <v>18740</v>
      </c>
      <c r="D61" s="284" t="s">
        <v>1740</v>
      </c>
      <c r="E61" s="284" t="s">
        <v>12288</v>
      </c>
      <c r="F61" s="157" t="s">
        <v>12</v>
      </c>
      <c r="H61" s="284" t="s">
        <v>12289</v>
      </c>
      <c r="I61" s="284" t="s">
        <v>12000</v>
      </c>
      <c r="J61" s="156" t="str">
        <f t="shared" si="0"/>
        <v>CobaltImpala Platinum - Base Metal Refinery (BMR)</v>
      </c>
      <c r="K61" s="156" t="str">
        <f t="shared" si="1"/>
        <v>CobaltImpala Platinum - Base Metal Refinery (BMR)</v>
      </c>
    </row>
    <row r="62" spans="1:11">
      <c r="A62" s="156" t="s">
        <v>40</v>
      </c>
      <c r="B62" s="156" t="s">
        <v>18742</v>
      </c>
      <c r="C62" s="156" t="s">
        <v>18742</v>
      </c>
      <c r="D62" s="284" t="s">
        <v>1740</v>
      </c>
      <c r="E62" s="284" t="s">
        <v>12291</v>
      </c>
      <c r="F62" s="157" t="s">
        <v>12</v>
      </c>
      <c r="H62" s="284" t="s">
        <v>12292</v>
      </c>
      <c r="I62" s="284" t="s">
        <v>3191</v>
      </c>
      <c r="J62" s="156" t="str">
        <f t="shared" si="0"/>
        <v>CobaltImpala Platinum - Rustenburg Smelter</v>
      </c>
      <c r="K62" s="156" t="str">
        <f t="shared" si="1"/>
        <v>CobaltImpala Platinum - Rustenburg Smelter</v>
      </c>
    </row>
    <row r="63" spans="1:11">
      <c r="A63" s="156" t="s">
        <v>40</v>
      </c>
      <c r="B63" s="156" t="s">
        <v>12287</v>
      </c>
      <c r="C63" s="156" t="s">
        <v>18740</v>
      </c>
      <c r="D63" s="284" t="s">
        <v>1740</v>
      </c>
      <c r="E63" s="284" t="s">
        <v>12288</v>
      </c>
      <c r="F63" s="157" t="s">
        <v>12</v>
      </c>
      <c r="H63" s="284" t="s">
        <v>12289</v>
      </c>
      <c r="I63" s="284" t="s">
        <v>12000</v>
      </c>
      <c r="J63" s="156" t="str">
        <f t="shared" si="0"/>
        <v>CobaltImpala Refineries – Base Metals Refinery (BMR)</v>
      </c>
      <c r="K63" s="156" t="str">
        <f t="shared" si="1"/>
        <v>CobaltImpala Refineries – Base Metals Refinery (BMR)</v>
      </c>
    </row>
    <row r="64" spans="1:11">
      <c r="A64" s="156" t="s">
        <v>40</v>
      </c>
      <c r="B64" s="156" t="s">
        <v>12290</v>
      </c>
      <c r="C64" s="156" t="s">
        <v>18742</v>
      </c>
      <c r="D64" s="284" t="s">
        <v>1740</v>
      </c>
      <c r="E64" s="284" t="s">
        <v>12291</v>
      </c>
      <c r="F64" s="157" t="s">
        <v>12</v>
      </c>
      <c r="H64" s="284" t="s">
        <v>12292</v>
      </c>
      <c r="I64" s="284" t="s">
        <v>3191</v>
      </c>
      <c r="J64" s="156" t="str">
        <f t="shared" si="0"/>
        <v>CobaltImpala Rustenburg</v>
      </c>
      <c r="K64" s="156" t="str">
        <f t="shared" si="1"/>
        <v>CobaltImpala Rustenburg</v>
      </c>
    </row>
    <row r="65" spans="1:11">
      <c r="A65" s="156" t="s">
        <v>40</v>
      </c>
      <c r="B65" s="156" t="s">
        <v>19198</v>
      </c>
      <c r="C65" s="156" t="s">
        <v>19198</v>
      </c>
      <c r="D65" s="284" t="s">
        <v>342</v>
      </c>
      <c r="E65" s="284" t="s">
        <v>19199</v>
      </c>
      <c r="F65" s="157" t="s">
        <v>12</v>
      </c>
      <c r="H65" s="284" t="s">
        <v>19214</v>
      </c>
      <c r="I65" s="284" t="s">
        <v>2726</v>
      </c>
      <c r="J65" s="156" t="str">
        <f t="shared" si="0"/>
        <v>CobaltIncasa S.A.</v>
      </c>
      <c r="K65" s="156" t="str">
        <f t="shared" si="1"/>
        <v>CobaltIncasa S.A.</v>
      </c>
    </row>
    <row r="66" spans="1:11">
      <c r="A66" s="156" t="s">
        <v>40</v>
      </c>
      <c r="B66" s="156" t="s">
        <v>160</v>
      </c>
      <c r="C66" s="156" t="s">
        <v>119</v>
      </c>
      <c r="D66" s="284" t="s">
        <v>65</v>
      </c>
      <c r="E66" s="284" t="s">
        <v>120</v>
      </c>
      <c r="F66" s="157" t="s">
        <v>12</v>
      </c>
      <c r="H66" s="284" t="s">
        <v>121</v>
      </c>
      <c r="I66" s="284" t="s">
        <v>122</v>
      </c>
      <c r="J66" s="156" t="str">
        <f t="shared" si="0"/>
        <v>CobaltJiana</v>
      </c>
      <c r="K66" s="156" t="str">
        <f t="shared" si="1"/>
        <v>CobaltJiana</v>
      </c>
    </row>
    <row r="67" spans="1:11">
      <c r="A67" s="156" t="s">
        <v>40</v>
      </c>
      <c r="B67" s="156" t="s">
        <v>12293</v>
      </c>
      <c r="C67" s="156" t="s">
        <v>12294</v>
      </c>
      <c r="D67" s="284" t="s">
        <v>65</v>
      </c>
      <c r="E67" s="284" t="s">
        <v>12295</v>
      </c>
      <c r="F67" s="157" t="s">
        <v>12</v>
      </c>
      <c r="H67" s="284" t="s">
        <v>12296</v>
      </c>
      <c r="I67" s="284" t="s">
        <v>122</v>
      </c>
      <c r="J67" s="156" t="str">
        <f t="shared" si="0"/>
        <v>CobaltJiangmen Chancsun Umicore Industry Co., Ltd. (JUC)</v>
      </c>
      <c r="K67" s="156" t="str">
        <f t="shared" si="1"/>
        <v>CobaltJiangmen Chancsun Umicore Industry Co., Ltd. (JUC)</v>
      </c>
    </row>
    <row r="68" spans="1:11">
      <c r="A68" s="156" t="s">
        <v>40</v>
      </c>
      <c r="B68" s="156" t="s">
        <v>12294</v>
      </c>
      <c r="C68" s="156" t="s">
        <v>12294</v>
      </c>
      <c r="D68" s="284" t="s">
        <v>65</v>
      </c>
      <c r="E68" s="284" t="s">
        <v>12295</v>
      </c>
      <c r="F68" s="157" t="s">
        <v>12</v>
      </c>
      <c r="H68" s="284" t="s">
        <v>12296</v>
      </c>
      <c r="I68" s="284" t="s">
        <v>122</v>
      </c>
      <c r="J68" s="156" t="str">
        <f t="shared" si="0"/>
        <v>CobaltJiangmen Chancsun Umicore Industry Co.,Ltd</v>
      </c>
      <c r="K68" s="156" t="str">
        <f t="shared" si="1"/>
        <v>CobaltJiangmen Chancsun Umicore Industry Co.,Ltd</v>
      </c>
    </row>
    <row r="69" spans="1:11">
      <c r="A69" s="156" t="s">
        <v>40</v>
      </c>
      <c r="B69" s="156" t="s">
        <v>161</v>
      </c>
      <c r="C69" s="156" t="s">
        <v>111</v>
      </c>
      <c r="D69" s="284" t="s">
        <v>65</v>
      </c>
      <c r="E69" s="284" t="s">
        <v>112</v>
      </c>
      <c r="F69" s="157" t="s">
        <v>12</v>
      </c>
      <c r="H69" s="284" t="s">
        <v>113</v>
      </c>
      <c r="I69" s="284" t="s">
        <v>114</v>
      </c>
      <c r="J69" s="156" t="str">
        <f t="shared" si="0"/>
        <v>CobaltJiangsu Cobalt Nickel Metal (KLK)</v>
      </c>
      <c r="K69" s="156" t="str">
        <f t="shared" si="1"/>
        <v>CobaltJiangsu Cobalt Nickel Metal (KLK)</v>
      </c>
    </row>
    <row r="70" spans="1:11">
      <c r="A70" s="156" t="s">
        <v>40</v>
      </c>
      <c r="B70" s="156" t="s">
        <v>162</v>
      </c>
      <c r="C70" s="156" t="s">
        <v>111</v>
      </c>
      <c r="D70" s="284" t="s">
        <v>65</v>
      </c>
      <c r="E70" s="284" t="s">
        <v>112</v>
      </c>
      <c r="F70" s="157" t="s">
        <v>12</v>
      </c>
      <c r="H70" s="284" t="s">
        <v>113</v>
      </c>
      <c r="I70" s="284" t="s">
        <v>114</v>
      </c>
      <c r="J70" s="156" t="str">
        <f t="shared" ref="J70:J133" si="2">A70&amp;B70</f>
        <v>CobaltJiangsu KLK Cobalt Nickel Metal Co., Ltd.</v>
      </c>
      <c r="K70" s="156" t="str">
        <f t="shared" ref="K70:K133" si="3">A70&amp;B70</f>
        <v>CobaltJiangsu KLK Cobalt Nickel Metal Co., Ltd.</v>
      </c>
    </row>
    <row r="71" spans="1:11">
      <c r="A71" s="156" t="s">
        <v>40</v>
      </c>
      <c r="B71" s="156" t="s">
        <v>163</v>
      </c>
      <c r="C71" s="156" t="s">
        <v>163</v>
      </c>
      <c r="D71" s="284" t="s">
        <v>65</v>
      </c>
      <c r="E71" s="284" t="s">
        <v>164</v>
      </c>
      <c r="F71" s="157" t="s">
        <v>12</v>
      </c>
      <c r="H71" s="284" t="s">
        <v>165</v>
      </c>
      <c r="I71" s="284" t="s">
        <v>114</v>
      </c>
      <c r="J71" s="156" t="str">
        <f t="shared" si="2"/>
        <v>CobaltJiangsu Xiongfeng Technology Co., Ltd.</v>
      </c>
      <c r="K71" s="156" t="str">
        <f t="shared" si="3"/>
        <v>CobaltJiangsu Xiongfeng Technology Co., Ltd.</v>
      </c>
    </row>
    <row r="72" spans="1:11">
      <c r="A72" s="156" t="s">
        <v>40</v>
      </c>
      <c r="B72" s="156" t="s">
        <v>12297</v>
      </c>
      <c r="C72" s="156" t="s">
        <v>12297</v>
      </c>
      <c r="D72" s="284" t="s">
        <v>65</v>
      </c>
      <c r="E72" s="284" t="s">
        <v>166</v>
      </c>
      <c r="F72" s="157" t="s">
        <v>12</v>
      </c>
      <c r="H72" s="284" t="s">
        <v>105</v>
      </c>
      <c r="I72" s="284" t="s">
        <v>106</v>
      </c>
      <c r="J72" s="156" t="str">
        <f t="shared" si="2"/>
        <v>CobaltJiangxi Jiangwu Cobalt Industrial Co., Ltd.</v>
      </c>
      <c r="K72" s="156" t="str">
        <f t="shared" si="3"/>
        <v>CobaltJiangxi Jiangwu Cobalt Industrial Co., Ltd.</v>
      </c>
    </row>
    <row r="73" spans="1:11">
      <c r="A73" s="156" t="s">
        <v>40</v>
      </c>
      <c r="B73" s="156" t="s">
        <v>12086</v>
      </c>
      <c r="C73" s="156" t="s">
        <v>12086</v>
      </c>
      <c r="D73" s="284" t="s">
        <v>65</v>
      </c>
      <c r="E73" s="284" t="s">
        <v>12085</v>
      </c>
      <c r="F73" s="157" t="s">
        <v>12</v>
      </c>
      <c r="H73" s="284" t="s">
        <v>12087</v>
      </c>
      <c r="I73" s="284" t="s">
        <v>106</v>
      </c>
      <c r="J73" s="156" t="str">
        <f t="shared" si="2"/>
        <v>CobaltJiangxi Miracle Golden Tiger Cobalt Co. Ltd.</v>
      </c>
      <c r="K73" s="156" t="str">
        <f t="shared" si="3"/>
        <v>CobaltJiangxi Miracle Golden Tiger Cobalt Co. Ltd.</v>
      </c>
    </row>
    <row r="74" spans="1:11">
      <c r="A74" s="156" t="s">
        <v>40</v>
      </c>
      <c r="B74" s="156" t="s">
        <v>167</v>
      </c>
      <c r="C74" s="156" t="s">
        <v>12298</v>
      </c>
      <c r="D74" s="284" t="s">
        <v>65</v>
      </c>
      <c r="E74" s="284" t="s">
        <v>12299</v>
      </c>
      <c r="F74" s="157" t="s">
        <v>12</v>
      </c>
      <c r="H74" s="284" t="s">
        <v>12300</v>
      </c>
      <c r="I74" s="284" t="s">
        <v>106</v>
      </c>
      <c r="J74" s="156" t="str">
        <f t="shared" si="2"/>
        <v>CobaltJiangxi Rui da Xinnengyuan Technology Co., Ltd.</v>
      </c>
      <c r="K74" s="156" t="str">
        <f t="shared" si="3"/>
        <v>CobaltJiangxi Rui da Xinnengyuan Technology Co., Ltd.</v>
      </c>
    </row>
    <row r="75" spans="1:11">
      <c r="A75" s="156" t="s">
        <v>40</v>
      </c>
      <c r="B75" s="156" t="s">
        <v>12298</v>
      </c>
      <c r="C75" s="156" t="s">
        <v>12298</v>
      </c>
      <c r="D75" s="284" t="s">
        <v>65</v>
      </c>
      <c r="E75" s="284" t="s">
        <v>12299</v>
      </c>
      <c r="F75" s="157" t="s">
        <v>12</v>
      </c>
      <c r="H75" s="284" t="s">
        <v>12300</v>
      </c>
      <c r="I75" s="284" t="s">
        <v>106</v>
      </c>
      <c r="J75" s="156" t="str">
        <f t="shared" si="2"/>
        <v>CobaltJiangxi Ruida New Energy Technology Co., Ltd.</v>
      </c>
      <c r="K75" s="156" t="str">
        <f t="shared" si="3"/>
        <v>CobaltJiangxi Ruida New Energy Technology Co., Ltd.</v>
      </c>
    </row>
    <row r="76" spans="1:11">
      <c r="A76" s="156" t="s">
        <v>40</v>
      </c>
      <c r="B76" s="156" t="s">
        <v>19200</v>
      </c>
      <c r="C76" s="156" t="s">
        <v>19200</v>
      </c>
      <c r="D76" s="284" t="s">
        <v>76</v>
      </c>
      <c r="E76" s="284" t="s">
        <v>19201</v>
      </c>
      <c r="F76" s="157" t="s">
        <v>12</v>
      </c>
      <c r="H76" s="284" t="s">
        <v>19220</v>
      </c>
      <c r="I76" s="284" t="s">
        <v>11168</v>
      </c>
      <c r="J76" s="156" t="str">
        <f t="shared" si="2"/>
        <v>CobaltJing Yuan Tungsten Technology Co., Ltd.</v>
      </c>
      <c r="K76" s="156" t="str">
        <f t="shared" si="3"/>
        <v>CobaltJing Yuan Tungsten Technology Co., Ltd.</v>
      </c>
    </row>
    <row r="77" spans="1:11">
      <c r="A77" s="156" t="s">
        <v>40</v>
      </c>
      <c r="B77" s="156" t="s">
        <v>168</v>
      </c>
      <c r="C77" s="156" t="s">
        <v>168</v>
      </c>
      <c r="D77" s="284" t="s">
        <v>65</v>
      </c>
      <c r="E77" s="284" t="s">
        <v>169</v>
      </c>
      <c r="F77" s="157" t="s">
        <v>12</v>
      </c>
      <c r="H77" s="284" t="s">
        <v>170</v>
      </c>
      <c r="I77" s="284" t="s">
        <v>171</v>
      </c>
      <c r="J77" s="156" t="str">
        <f t="shared" si="2"/>
        <v>CobaltJingmen GEM Co., Ltd.</v>
      </c>
      <c r="K77" s="156" t="str">
        <f t="shared" si="3"/>
        <v>CobaltJingmen GEM Co., Ltd.</v>
      </c>
    </row>
    <row r="78" spans="1:11">
      <c r="A78" s="156" t="s">
        <v>40</v>
      </c>
      <c r="B78" s="156" t="s">
        <v>172</v>
      </c>
      <c r="C78" s="156" t="s">
        <v>172</v>
      </c>
      <c r="D78" s="284" t="s">
        <v>173</v>
      </c>
      <c r="E78" s="284" t="s">
        <v>174</v>
      </c>
      <c r="F78" s="157" t="s">
        <v>12</v>
      </c>
      <c r="H78" s="284" t="s">
        <v>175</v>
      </c>
      <c r="I78" s="284" t="s">
        <v>176</v>
      </c>
      <c r="J78" s="156" t="str">
        <f t="shared" si="2"/>
        <v>CobaltJSC Kolskaya Mining and Metallurgical Company (Kola MMC)</v>
      </c>
      <c r="K78" s="156" t="str">
        <f t="shared" si="3"/>
        <v>CobaltJSC Kolskaya Mining and Metallurgical Company (Kola MMC)</v>
      </c>
    </row>
    <row r="79" spans="1:11">
      <c r="A79" s="156" t="s">
        <v>40</v>
      </c>
      <c r="B79" s="156" t="s">
        <v>177</v>
      </c>
      <c r="C79" s="156" t="s">
        <v>177</v>
      </c>
      <c r="D79" s="284" t="s">
        <v>60</v>
      </c>
      <c r="E79" s="284" t="s">
        <v>178</v>
      </c>
      <c r="F79" s="157" t="s">
        <v>12</v>
      </c>
      <c r="H79" s="284" t="s">
        <v>179</v>
      </c>
      <c r="I79" s="284" t="s">
        <v>180</v>
      </c>
      <c r="J79" s="156" t="str">
        <f t="shared" si="2"/>
        <v>CobaltKamoto Copper Company</v>
      </c>
      <c r="K79" s="156" t="str">
        <f t="shared" si="3"/>
        <v>CobaltKamoto Copper Company</v>
      </c>
    </row>
    <row r="80" spans="1:11">
      <c r="A80" s="156" t="s">
        <v>40</v>
      </c>
      <c r="B80" s="156" t="s">
        <v>12233</v>
      </c>
      <c r="C80" s="156" t="s">
        <v>12089</v>
      </c>
      <c r="D80" s="284" t="s">
        <v>60</v>
      </c>
      <c r="E80" s="284" t="s">
        <v>12088</v>
      </c>
      <c r="F80" s="157" t="s">
        <v>12</v>
      </c>
      <c r="H80" s="284" t="s">
        <v>62</v>
      </c>
      <c r="I80" s="284" t="s">
        <v>63</v>
      </c>
      <c r="J80" s="156" t="str">
        <f t="shared" si="2"/>
        <v>CobaltKasombo Minerals (SPRL) - MIKAS Huayou</v>
      </c>
      <c r="K80" s="156" t="str">
        <f t="shared" si="3"/>
        <v>CobaltKasombo Minerals (SPRL) - MIKAS Huayou</v>
      </c>
    </row>
    <row r="81" spans="1:11">
      <c r="A81" s="156" t="s">
        <v>40</v>
      </c>
      <c r="B81" s="156" t="s">
        <v>18749</v>
      </c>
      <c r="C81" s="156" t="s">
        <v>19187</v>
      </c>
      <c r="D81" s="284" t="s">
        <v>60</v>
      </c>
      <c r="E81" s="284" t="s">
        <v>19188</v>
      </c>
      <c r="F81" s="157" t="s">
        <v>12</v>
      </c>
      <c r="H81" s="284" t="s">
        <v>19212</v>
      </c>
      <c r="I81" s="284" t="s">
        <v>180</v>
      </c>
      <c r="J81" s="156" t="str">
        <f t="shared" si="2"/>
        <v>CobaltKFM</v>
      </c>
      <c r="K81" s="156" t="str">
        <f t="shared" si="3"/>
        <v>CobaltKFM</v>
      </c>
    </row>
    <row r="82" spans="1:11">
      <c r="A82" s="156" t="s">
        <v>40</v>
      </c>
      <c r="B82" s="156" t="s">
        <v>19202</v>
      </c>
      <c r="C82" s="156" t="s">
        <v>18753</v>
      </c>
      <c r="D82" s="284" t="s">
        <v>60</v>
      </c>
      <c r="E82" s="284" t="s">
        <v>19203</v>
      </c>
      <c r="F82" s="157" t="s">
        <v>12</v>
      </c>
      <c r="H82" s="284" t="s">
        <v>62</v>
      </c>
      <c r="I82" s="284" t="s">
        <v>63</v>
      </c>
      <c r="J82" s="156" t="str">
        <f t="shared" si="2"/>
        <v>CobaltKinsevere</v>
      </c>
      <c r="K82" s="156" t="str">
        <f t="shared" si="3"/>
        <v>CobaltKinsevere</v>
      </c>
    </row>
    <row r="83" spans="1:11">
      <c r="A83" s="156" t="s">
        <v>40</v>
      </c>
      <c r="B83" s="156" t="s">
        <v>220</v>
      </c>
      <c r="C83" s="156" t="s">
        <v>12234</v>
      </c>
      <c r="D83" s="284" t="s">
        <v>60</v>
      </c>
      <c r="E83" s="284" t="s">
        <v>12235</v>
      </c>
      <c r="F83" s="157" t="s">
        <v>12</v>
      </c>
      <c r="H83" s="284" t="s">
        <v>179</v>
      </c>
      <c r="I83" s="284" t="s">
        <v>180</v>
      </c>
      <c r="J83" s="156" t="str">
        <f t="shared" si="2"/>
        <v>CobaltKisanfu</v>
      </c>
      <c r="K83" s="156" t="str">
        <f t="shared" si="3"/>
        <v>CobaltKisanfu</v>
      </c>
    </row>
    <row r="84" spans="1:11">
      <c r="A84" s="156" t="s">
        <v>40</v>
      </c>
      <c r="B84" s="156" t="s">
        <v>12234</v>
      </c>
      <c r="C84" s="156" t="s">
        <v>12234</v>
      </c>
      <c r="D84" s="284" t="s">
        <v>60</v>
      </c>
      <c r="E84" s="284" t="s">
        <v>12235</v>
      </c>
      <c r="F84" s="157" t="s">
        <v>12</v>
      </c>
      <c r="H84" s="284" t="s">
        <v>179</v>
      </c>
      <c r="I84" s="284" t="s">
        <v>180</v>
      </c>
      <c r="J84" s="156" t="str">
        <f t="shared" si="2"/>
        <v>CobaltKisanfu Mining (Kimin)</v>
      </c>
      <c r="K84" s="156" t="str">
        <f t="shared" si="3"/>
        <v>CobaltKisanfu Mining (Kimin)</v>
      </c>
    </row>
    <row r="85" spans="1:11">
      <c r="A85" s="156" t="s">
        <v>40</v>
      </c>
      <c r="B85" s="156" t="s">
        <v>181</v>
      </c>
      <c r="C85" s="156" t="s">
        <v>172</v>
      </c>
      <c r="D85" s="284" t="s">
        <v>173</v>
      </c>
      <c r="E85" s="284" t="s">
        <v>174</v>
      </c>
      <c r="F85" s="157" t="s">
        <v>12</v>
      </c>
      <c r="H85" s="284" t="s">
        <v>175</v>
      </c>
      <c r="I85" s="284" t="s">
        <v>176</v>
      </c>
      <c r="J85" s="156" t="str">
        <f t="shared" si="2"/>
        <v>CobaltKola Mining and Metallurgical Company</v>
      </c>
      <c r="K85" s="156" t="str">
        <f t="shared" si="3"/>
        <v>CobaltKola Mining and Metallurgical Company</v>
      </c>
    </row>
    <row r="86" spans="1:11">
      <c r="A86" s="156" t="s">
        <v>40</v>
      </c>
      <c r="B86" s="156" t="s">
        <v>182</v>
      </c>
      <c r="C86" s="156" t="s">
        <v>12236</v>
      </c>
      <c r="D86" s="284" t="s">
        <v>60</v>
      </c>
      <c r="E86" s="284" t="s">
        <v>183</v>
      </c>
      <c r="F86" s="157" t="s">
        <v>12</v>
      </c>
      <c r="H86" s="284" t="s">
        <v>62</v>
      </c>
      <c r="I86" s="284" t="s">
        <v>63</v>
      </c>
      <c r="J86" s="156" t="str">
        <f t="shared" si="2"/>
        <v>CobaltKolwezi Tailings (KMT, aka Kingamyambo Musonoi Tailings)</v>
      </c>
      <c r="K86" s="156" t="str">
        <f t="shared" si="3"/>
        <v>CobaltKolwezi Tailings (KMT, aka Kingamyambo Musonoi Tailings)</v>
      </c>
    </row>
    <row r="87" spans="1:11">
      <c r="A87" s="156" t="s">
        <v>40</v>
      </c>
      <c r="B87" s="156" t="s">
        <v>12236</v>
      </c>
      <c r="C87" s="156" t="s">
        <v>12236</v>
      </c>
      <c r="D87" s="284" t="s">
        <v>60</v>
      </c>
      <c r="E87" s="284" t="s">
        <v>183</v>
      </c>
      <c r="F87" s="157" t="s">
        <v>12</v>
      </c>
      <c r="H87" s="284" t="s">
        <v>62</v>
      </c>
      <c r="I87" s="284" t="s">
        <v>63</v>
      </c>
      <c r="J87" s="156" t="str">
        <f t="shared" si="2"/>
        <v>CobaltLa Compagnie de Traitement des Rejets de Kingamyambo S.A. (Metalkol S.A.)</v>
      </c>
      <c r="K87" s="156" t="str">
        <f t="shared" si="3"/>
        <v>CobaltLa Compagnie de Traitement des Rejets de Kingamyambo S.A. (Metalkol S.A.)</v>
      </c>
    </row>
    <row r="88" spans="1:11">
      <c r="A88" s="156" t="s">
        <v>40</v>
      </c>
      <c r="B88" s="156" t="s">
        <v>12126</v>
      </c>
      <c r="C88" s="156" t="s">
        <v>12089</v>
      </c>
      <c r="D88" s="284" t="s">
        <v>60</v>
      </c>
      <c r="E88" s="284" t="s">
        <v>12088</v>
      </c>
      <c r="F88" s="157" t="s">
        <v>12</v>
      </c>
      <c r="H88" s="284" t="s">
        <v>62</v>
      </c>
      <c r="I88" s="284" t="s">
        <v>63</v>
      </c>
      <c r="J88" s="156" t="str">
        <f t="shared" si="2"/>
        <v>CobaltLa Miniere de Kambove</v>
      </c>
      <c r="K88" s="156" t="str">
        <f t="shared" si="3"/>
        <v>CobaltLa Miniere de Kambove</v>
      </c>
    </row>
    <row r="89" spans="1:11">
      <c r="A89" s="156" t="s">
        <v>40</v>
      </c>
      <c r="B89" s="156" t="s">
        <v>12127</v>
      </c>
      <c r="C89" s="156" t="s">
        <v>12089</v>
      </c>
      <c r="D89" s="284" t="s">
        <v>60</v>
      </c>
      <c r="E89" s="284" t="s">
        <v>12088</v>
      </c>
      <c r="F89" s="157" t="s">
        <v>12</v>
      </c>
      <c r="H89" s="284" t="s">
        <v>62</v>
      </c>
      <c r="I89" s="284" t="s">
        <v>63</v>
      </c>
      <c r="J89" s="156" t="str">
        <f t="shared" si="2"/>
        <v>CobaltLa Miniere de Kasombo</v>
      </c>
      <c r="K89" s="156" t="str">
        <f t="shared" si="3"/>
        <v>CobaltLa Miniere de Kasombo</v>
      </c>
    </row>
    <row r="90" spans="1:11">
      <c r="A90" s="156" t="s">
        <v>40</v>
      </c>
      <c r="B90" s="156" t="s">
        <v>12089</v>
      </c>
      <c r="C90" s="156" t="s">
        <v>12089</v>
      </c>
      <c r="D90" s="284" t="s">
        <v>60</v>
      </c>
      <c r="E90" s="284" t="s">
        <v>12088</v>
      </c>
      <c r="F90" s="157" t="s">
        <v>12</v>
      </c>
      <c r="H90" s="284" t="s">
        <v>62</v>
      </c>
      <c r="I90" s="284" t="s">
        <v>63</v>
      </c>
      <c r="J90" s="156" t="str">
        <f t="shared" si="2"/>
        <v>CobaltLA MINIERE DE KASOMBO SAS</v>
      </c>
      <c r="K90" s="156" t="str">
        <f t="shared" si="3"/>
        <v>CobaltLA MINIERE DE KASOMBO SAS</v>
      </c>
    </row>
    <row r="91" spans="1:11">
      <c r="A91" s="156" t="s">
        <v>40</v>
      </c>
      <c r="B91" s="156" t="s">
        <v>184</v>
      </c>
      <c r="C91" s="156" t="s">
        <v>184</v>
      </c>
      <c r="D91" s="284" t="s">
        <v>65</v>
      </c>
      <c r="E91" s="284" t="s">
        <v>185</v>
      </c>
      <c r="F91" s="157" t="s">
        <v>12</v>
      </c>
      <c r="H91" s="284" t="s">
        <v>186</v>
      </c>
      <c r="I91" s="284" t="s">
        <v>187</v>
      </c>
      <c r="J91" s="156" t="str">
        <f t="shared" si="2"/>
        <v>CobaltLanzhou Jinchuan Advanced Materials Technology Co., Ltd.</v>
      </c>
      <c r="K91" s="156" t="str">
        <f t="shared" si="3"/>
        <v>CobaltLanzhou Jinchuan Advanced Materials Technology Co., Ltd.</v>
      </c>
    </row>
    <row r="92" spans="1:11">
      <c r="A92" s="156" t="s">
        <v>40</v>
      </c>
      <c r="B92" s="156" t="s">
        <v>12301</v>
      </c>
      <c r="C92" s="156" t="s">
        <v>12301</v>
      </c>
      <c r="D92" s="284" t="s">
        <v>76</v>
      </c>
      <c r="E92" s="284" t="s">
        <v>12237</v>
      </c>
      <c r="F92" s="157" t="s">
        <v>12</v>
      </c>
      <c r="H92" s="284" t="s">
        <v>12302</v>
      </c>
      <c r="I92" s="284" t="s">
        <v>11157</v>
      </c>
      <c r="J92" s="156" t="str">
        <f t="shared" si="2"/>
        <v>CobaltLianyou Resources Co., Ltd.</v>
      </c>
      <c r="K92" s="156" t="str">
        <f t="shared" si="3"/>
        <v>CobaltLianyou Resources Co., Ltd.</v>
      </c>
    </row>
    <row r="93" spans="1:11">
      <c r="A93" s="156" t="s">
        <v>40</v>
      </c>
      <c r="B93" s="156" t="s">
        <v>19204</v>
      </c>
      <c r="C93" s="156" t="s">
        <v>19204</v>
      </c>
      <c r="D93" s="284" t="s">
        <v>305</v>
      </c>
      <c r="E93" s="284" t="s">
        <v>19205</v>
      </c>
      <c r="F93" s="157" t="s">
        <v>12</v>
      </c>
      <c r="H93" s="284" t="s">
        <v>19215</v>
      </c>
      <c r="I93" s="284" t="s">
        <v>5631</v>
      </c>
      <c r="J93" s="156" t="str">
        <f t="shared" si="2"/>
        <v>CobaltLOHUM CLEANTECH PVT LTD</v>
      </c>
      <c r="K93" s="156" t="str">
        <f t="shared" si="3"/>
        <v>CobaltLOHUM CLEANTECH PVT LTD</v>
      </c>
    </row>
    <row r="94" spans="1:11">
      <c r="A94" s="156" t="s">
        <v>40</v>
      </c>
      <c r="B94" s="156" t="s">
        <v>189</v>
      </c>
      <c r="C94" s="156" t="s">
        <v>59</v>
      </c>
      <c r="D94" s="284" t="s">
        <v>60</v>
      </c>
      <c r="E94" s="284" t="s">
        <v>61</v>
      </c>
      <c r="F94" s="157" t="s">
        <v>12</v>
      </c>
      <c r="H94" s="284" t="s">
        <v>62</v>
      </c>
      <c r="I94" s="284" t="s">
        <v>63</v>
      </c>
      <c r="J94" s="156" t="str">
        <f t="shared" si="2"/>
        <v>CobaltLubumbashi (Mine de L’Etoile)</v>
      </c>
      <c r="K94" s="156" t="str">
        <f t="shared" si="3"/>
        <v>CobaltLubumbashi (Mine de L’Etoile)</v>
      </c>
    </row>
    <row r="95" spans="1:11">
      <c r="A95" s="156" t="s">
        <v>40</v>
      </c>
      <c r="B95" s="156" t="s">
        <v>12128</v>
      </c>
      <c r="C95" s="156" t="s">
        <v>177</v>
      </c>
      <c r="D95" s="284" t="s">
        <v>60</v>
      </c>
      <c r="E95" s="284" t="s">
        <v>178</v>
      </c>
      <c r="F95" s="157" t="s">
        <v>12</v>
      </c>
      <c r="H95" s="284" t="s">
        <v>179</v>
      </c>
      <c r="I95" s="284" t="s">
        <v>180</v>
      </c>
      <c r="J95" s="156" t="str">
        <f t="shared" si="2"/>
        <v>CobaltLuilu Metallurgical Plant</v>
      </c>
      <c r="K95" s="156" t="str">
        <f t="shared" si="3"/>
        <v>CobaltLuilu Metallurgical Plant</v>
      </c>
    </row>
    <row r="96" spans="1:11">
      <c r="A96" s="156" t="s">
        <v>40</v>
      </c>
      <c r="B96" s="156" t="s">
        <v>12303</v>
      </c>
      <c r="C96" s="156" t="s">
        <v>12303</v>
      </c>
      <c r="D96" s="284" t="s">
        <v>60</v>
      </c>
      <c r="E96" s="284" t="s">
        <v>12305</v>
      </c>
      <c r="F96" s="157" t="s">
        <v>12</v>
      </c>
      <c r="H96" s="284" t="s">
        <v>12304</v>
      </c>
      <c r="I96" s="284" t="s">
        <v>180</v>
      </c>
      <c r="J96" s="156" t="str">
        <f t="shared" si="2"/>
        <v>CobaltLUILU RESSOURCES SAS</v>
      </c>
      <c r="K96" s="156" t="str">
        <f t="shared" si="3"/>
        <v>CobaltLUILU RESSOURCES SAS</v>
      </c>
    </row>
    <row r="97" spans="1:11">
      <c r="A97" s="156" t="s">
        <v>40</v>
      </c>
      <c r="B97" s="156" t="s">
        <v>191</v>
      </c>
      <c r="C97" s="156" t="s">
        <v>191</v>
      </c>
      <c r="D97" s="284" t="s">
        <v>192</v>
      </c>
      <c r="E97" s="284" t="s">
        <v>193</v>
      </c>
      <c r="F97" s="157" t="s">
        <v>12</v>
      </c>
      <c r="H97" s="284" t="s">
        <v>194</v>
      </c>
      <c r="I97" s="284" t="s">
        <v>194</v>
      </c>
      <c r="J97" s="156" t="str">
        <f t="shared" si="2"/>
        <v>CobaltMechema Chemicals (Thailand) Co., Ltd.</v>
      </c>
      <c r="K97" s="156" t="str">
        <f t="shared" si="3"/>
        <v>CobaltMechema Chemicals (Thailand) Co., Ltd.</v>
      </c>
    </row>
    <row r="98" spans="1:11">
      <c r="A98" s="156" t="s">
        <v>40</v>
      </c>
      <c r="B98" s="156" t="s">
        <v>195</v>
      </c>
      <c r="C98" s="156" t="s">
        <v>195</v>
      </c>
      <c r="D98" s="284" t="s">
        <v>65</v>
      </c>
      <c r="E98" s="284" t="s">
        <v>196</v>
      </c>
      <c r="F98" s="157" t="s">
        <v>12</v>
      </c>
      <c r="H98" s="284" t="s">
        <v>197</v>
      </c>
      <c r="I98" s="284" t="s">
        <v>198</v>
      </c>
      <c r="J98" s="156" t="str">
        <f t="shared" si="2"/>
        <v>CobaltMechema Chemicals shang-yu</v>
      </c>
      <c r="K98" s="156" t="str">
        <f t="shared" si="3"/>
        <v>CobaltMechema Chemicals shang-yu</v>
      </c>
    </row>
    <row r="99" spans="1:11">
      <c r="A99" s="156" t="s">
        <v>40</v>
      </c>
      <c r="B99" s="156" t="s">
        <v>199</v>
      </c>
      <c r="C99" s="156" t="s">
        <v>199</v>
      </c>
      <c r="D99" s="284" t="s">
        <v>81</v>
      </c>
      <c r="E99" s="284" t="s">
        <v>200</v>
      </c>
      <c r="F99" s="157" t="s">
        <v>12</v>
      </c>
      <c r="H99" s="284" t="s">
        <v>83</v>
      </c>
      <c r="I99" s="284" t="s">
        <v>84</v>
      </c>
      <c r="J99" s="156" t="str">
        <f t="shared" si="2"/>
        <v>CobaltMechema Korea, Co., Ltd.</v>
      </c>
      <c r="K99" s="156" t="str">
        <f t="shared" si="3"/>
        <v>CobaltMechema Korea, Co., Ltd.</v>
      </c>
    </row>
    <row r="100" spans="1:11">
      <c r="A100" s="156" t="s">
        <v>40</v>
      </c>
      <c r="B100" s="156" t="s">
        <v>201</v>
      </c>
      <c r="C100" s="156" t="s">
        <v>201</v>
      </c>
      <c r="D100" s="284" t="s">
        <v>76</v>
      </c>
      <c r="E100" s="284" t="s">
        <v>202</v>
      </c>
      <c r="F100" s="157" t="s">
        <v>12</v>
      </c>
      <c r="H100" s="284" t="s">
        <v>203</v>
      </c>
      <c r="I100" s="284" t="s">
        <v>203</v>
      </c>
      <c r="J100" s="156" t="str">
        <f t="shared" si="2"/>
        <v>CobaltMechema Taiwan Plant 1</v>
      </c>
      <c r="K100" s="156" t="str">
        <f t="shared" si="3"/>
        <v>CobaltMechema Taiwan Plant 1</v>
      </c>
    </row>
    <row r="101" spans="1:11">
      <c r="A101" s="156" t="s">
        <v>40</v>
      </c>
      <c r="B101" s="156" t="s">
        <v>204</v>
      </c>
      <c r="C101" s="156" t="s">
        <v>204</v>
      </c>
      <c r="D101" s="284" t="s">
        <v>76</v>
      </c>
      <c r="E101" s="284" t="s">
        <v>205</v>
      </c>
      <c r="F101" s="157" t="s">
        <v>12</v>
      </c>
      <c r="H101" s="284" t="s">
        <v>203</v>
      </c>
      <c r="I101" s="284" t="s">
        <v>203</v>
      </c>
      <c r="J101" s="156" t="str">
        <f t="shared" si="2"/>
        <v>CobaltMechema Taiwan Plant 2</v>
      </c>
      <c r="K101" s="156" t="str">
        <f t="shared" si="3"/>
        <v>CobaltMechema Taiwan Plant 2</v>
      </c>
    </row>
    <row r="102" spans="1:11">
      <c r="A102" s="156" t="s">
        <v>40</v>
      </c>
      <c r="B102" s="156" t="s">
        <v>206</v>
      </c>
      <c r="C102" s="156" t="s">
        <v>206</v>
      </c>
      <c r="D102" s="284" t="s">
        <v>60</v>
      </c>
      <c r="E102" s="284" t="s">
        <v>207</v>
      </c>
      <c r="F102" s="157" t="s">
        <v>12</v>
      </c>
      <c r="H102" s="284" t="s">
        <v>208</v>
      </c>
      <c r="I102" s="284" t="s">
        <v>63</v>
      </c>
      <c r="J102" s="156" t="str">
        <f t="shared" si="2"/>
        <v>CobaltMETAL MINES SARL</v>
      </c>
      <c r="K102" s="156" t="str">
        <f t="shared" si="3"/>
        <v>CobaltMETAL MINES SARL</v>
      </c>
    </row>
    <row r="103" spans="1:11">
      <c r="A103" s="156" t="s">
        <v>40</v>
      </c>
      <c r="B103" s="156" t="s">
        <v>209</v>
      </c>
      <c r="C103" s="156" t="s">
        <v>12236</v>
      </c>
      <c r="D103" s="284" t="s">
        <v>60</v>
      </c>
      <c r="E103" s="284" t="s">
        <v>183</v>
      </c>
      <c r="F103" s="157" t="s">
        <v>12</v>
      </c>
      <c r="H103" s="284" t="s">
        <v>62</v>
      </c>
      <c r="I103" s="284" t="s">
        <v>63</v>
      </c>
      <c r="J103" s="156" t="str">
        <f t="shared" si="2"/>
        <v>CobaltMetalkol</v>
      </c>
      <c r="K103" s="156" t="str">
        <f t="shared" si="3"/>
        <v>CobaltMetalkol</v>
      </c>
    </row>
    <row r="104" spans="1:11">
      <c r="A104" s="156" t="s">
        <v>40</v>
      </c>
      <c r="B104" s="156" t="s">
        <v>12129</v>
      </c>
      <c r="C104" s="156" t="s">
        <v>12089</v>
      </c>
      <c r="D104" s="284" t="s">
        <v>60</v>
      </c>
      <c r="E104" s="284" t="s">
        <v>12088</v>
      </c>
      <c r="F104" s="157" t="s">
        <v>12</v>
      </c>
      <c r="H104" s="284" t="s">
        <v>62</v>
      </c>
      <c r="I104" s="284" t="s">
        <v>63</v>
      </c>
      <c r="J104" s="156" t="str">
        <f t="shared" si="2"/>
        <v>CobaltMIKAS</v>
      </c>
      <c r="K104" s="156" t="str">
        <f t="shared" si="3"/>
        <v>CobaltMIKAS</v>
      </c>
    </row>
    <row r="105" spans="1:11">
      <c r="A105" s="156" t="s">
        <v>40</v>
      </c>
      <c r="B105" s="156" t="s">
        <v>210</v>
      </c>
      <c r="C105" s="156" t="s">
        <v>211</v>
      </c>
      <c r="D105" s="284" t="s">
        <v>212</v>
      </c>
      <c r="E105" s="284" t="s">
        <v>213</v>
      </c>
      <c r="F105" s="157" t="s">
        <v>12</v>
      </c>
      <c r="H105" s="284" t="s">
        <v>214</v>
      </c>
      <c r="I105" s="284" t="s">
        <v>215</v>
      </c>
      <c r="J105" s="156" t="str">
        <f t="shared" si="2"/>
        <v>CobaltMinara Resources Pty</v>
      </c>
      <c r="K105" s="156" t="str">
        <f t="shared" si="3"/>
        <v>CobaltMinara Resources Pty</v>
      </c>
    </row>
    <row r="106" spans="1:11">
      <c r="A106" s="156" t="s">
        <v>40</v>
      </c>
      <c r="B106" s="156" t="s">
        <v>216</v>
      </c>
      <c r="C106" s="156" t="s">
        <v>211</v>
      </c>
      <c r="D106" s="284" t="s">
        <v>212</v>
      </c>
      <c r="E106" s="284" t="s">
        <v>213</v>
      </c>
      <c r="F106" s="157" t="s">
        <v>12</v>
      </c>
      <c r="H106" s="284" t="s">
        <v>214</v>
      </c>
      <c r="I106" s="284" t="s">
        <v>215</v>
      </c>
      <c r="J106" s="156" t="str">
        <f t="shared" si="2"/>
        <v>CobaltMinara Resources Pty Ltd.</v>
      </c>
      <c r="K106" s="156" t="str">
        <f t="shared" si="3"/>
        <v>CobaltMinara Resources Pty Ltd.</v>
      </c>
    </row>
    <row r="107" spans="1:11">
      <c r="A107" s="156" t="s">
        <v>40</v>
      </c>
      <c r="B107" s="156" t="s">
        <v>218</v>
      </c>
      <c r="C107" s="156" t="s">
        <v>218</v>
      </c>
      <c r="D107" s="284" t="s">
        <v>60</v>
      </c>
      <c r="E107" s="284" t="s">
        <v>219</v>
      </c>
      <c r="F107" s="157" t="s">
        <v>12</v>
      </c>
      <c r="H107" s="284" t="s">
        <v>220</v>
      </c>
      <c r="I107" s="284" t="s">
        <v>180</v>
      </c>
      <c r="J107" s="156" t="str">
        <f t="shared" si="2"/>
        <v>CobaltMKM - La Miniere de Kalumbwe Myunga</v>
      </c>
      <c r="K107" s="156" t="str">
        <f t="shared" si="3"/>
        <v>CobaltMKM - La Miniere de Kalumbwe Myunga</v>
      </c>
    </row>
    <row r="108" spans="1:11">
      <c r="A108" s="156" t="s">
        <v>40</v>
      </c>
      <c r="B108" s="156" t="s">
        <v>221</v>
      </c>
      <c r="C108" s="156" t="s">
        <v>218</v>
      </c>
      <c r="D108" s="284" t="s">
        <v>60</v>
      </c>
      <c r="E108" s="284" t="s">
        <v>219</v>
      </c>
      <c r="F108" s="157" t="s">
        <v>12</v>
      </c>
      <c r="H108" s="284" t="s">
        <v>220</v>
      </c>
      <c r="I108" s="284" t="s">
        <v>180</v>
      </c>
      <c r="J108" s="156" t="str">
        <f t="shared" si="2"/>
        <v>CobaltMKM - La Minière de Kalumbwe Myunga</v>
      </c>
      <c r="K108" s="156" t="str">
        <f t="shared" si="3"/>
        <v>CobaltMKM - La Minière de Kalumbwe Myunga</v>
      </c>
    </row>
    <row r="109" spans="1:11">
      <c r="A109" s="156" t="s">
        <v>40</v>
      </c>
      <c r="B109" s="156" t="s">
        <v>18753</v>
      </c>
      <c r="C109" s="156" t="s">
        <v>18753</v>
      </c>
      <c r="D109" s="284" t="s">
        <v>60</v>
      </c>
      <c r="E109" s="284" t="s">
        <v>19203</v>
      </c>
      <c r="F109" s="157" t="s">
        <v>12</v>
      </c>
      <c r="H109" s="284" t="s">
        <v>62</v>
      </c>
      <c r="I109" s="284" t="s">
        <v>63</v>
      </c>
      <c r="J109" s="156" t="str">
        <f t="shared" si="2"/>
        <v>CobaltMMG Kinsevere SARL</v>
      </c>
      <c r="K109" s="156" t="str">
        <f t="shared" si="3"/>
        <v>CobaltMMG Kinsevere SARL</v>
      </c>
    </row>
    <row r="110" spans="1:11">
      <c r="A110" s="156" t="s">
        <v>40</v>
      </c>
      <c r="B110" s="156" t="s">
        <v>211</v>
      </c>
      <c r="C110" s="156" t="s">
        <v>211</v>
      </c>
      <c r="D110" s="284" t="s">
        <v>212</v>
      </c>
      <c r="E110" s="284" t="s">
        <v>213</v>
      </c>
      <c r="F110" s="157" t="s">
        <v>12</v>
      </c>
      <c r="H110" s="284" t="s">
        <v>214</v>
      </c>
      <c r="I110" s="284" t="s">
        <v>215</v>
      </c>
      <c r="J110" s="156" t="str">
        <f t="shared" si="2"/>
        <v>CobaltMurrin Murrin Nickel Cobalt Plant</v>
      </c>
      <c r="K110" s="156" t="str">
        <f t="shared" si="3"/>
        <v>CobaltMurrin Murrin Nickel Cobalt Plant</v>
      </c>
    </row>
    <row r="111" spans="1:11">
      <c r="A111" s="156" t="s">
        <v>40</v>
      </c>
      <c r="B111" s="156" t="s">
        <v>12306</v>
      </c>
      <c r="C111" s="156" t="s">
        <v>12238</v>
      </c>
      <c r="D111" s="284" t="s">
        <v>60</v>
      </c>
      <c r="E111" s="284" t="s">
        <v>12239</v>
      </c>
      <c r="F111" s="157" t="s">
        <v>12</v>
      </c>
      <c r="H111" s="284" t="s">
        <v>179</v>
      </c>
      <c r="I111" s="284" t="s">
        <v>180</v>
      </c>
      <c r="J111" s="156" t="str">
        <f t="shared" si="2"/>
        <v>CobaltMutanda</v>
      </c>
      <c r="K111" s="156" t="str">
        <f t="shared" si="3"/>
        <v>CobaltMutanda</v>
      </c>
    </row>
    <row r="112" spans="1:11">
      <c r="A112" s="156" t="s">
        <v>40</v>
      </c>
      <c r="B112" s="156" t="s">
        <v>12238</v>
      </c>
      <c r="C112" s="156" t="s">
        <v>12238</v>
      </c>
      <c r="D112" s="284" t="s">
        <v>60</v>
      </c>
      <c r="E112" s="284" t="s">
        <v>12239</v>
      </c>
      <c r="F112" s="157" t="s">
        <v>12</v>
      </c>
      <c r="H112" s="284" t="s">
        <v>179</v>
      </c>
      <c r="I112" s="284" t="s">
        <v>180</v>
      </c>
      <c r="J112" s="156" t="str">
        <f t="shared" si="2"/>
        <v>CobaltMutanda Mining SPRL</v>
      </c>
      <c r="K112" s="156" t="str">
        <f t="shared" si="3"/>
        <v>CobaltMutanda Mining SPRL</v>
      </c>
    </row>
    <row r="113" spans="1:11">
      <c r="A113" s="156" t="s">
        <v>40</v>
      </c>
      <c r="B113" s="156" t="s">
        <v>12130</v>
      </c>
      <c r="C113" s="156" t="s">
        <v>12091</v>
      </c>
      <c r="D113" s="284" t="s">
        <v>173</v>
      </c>
      <c r="E113" s="284" t="s">
        <v>12090</v>
      </c>
      <c r="F113" s="157" t="s">
        <v>12</v>
      </c>
      <c r="H113" s="284" t="s">
        <v>12092</v>
      </c>
      <c r="I113" s="284" t="s">
        <v>9671</v>
      </c>
      <c r="J113" s="156" t="str">
        <f t="shared" si="2"/>
        <v>CobaltNadezhda Metallurgical Plant (named after B.I. Kolesnikov) of the Polar Division of PJSC MMC Norilsk Nickel</v>
      </c>
      <c r="K113" s="156" t="str">
        <f t="shared" si="3"/>
        <v>CobaltNadezhda Metallurgical Plant (named after B.I. Kolesnikov) of the Polar Division of PJSC MMC Norilsk Nickel</v>
      </c>
    </row>
    <row r="114" spans="1:11">
      <c r="A114" s="156" t="s">
        <v>40</v>
      </c>
      <c r="B114" s="156" t="s">
        <v>12091</v>
      </c>
      <c r="C114" s="156" t="s">
        <v>12091</v>
      </c>
      <c r="D114" s="284" t="s">
        <v>173</v>
      </c>
      <c r="E114" s="284" t="s">
        <v>12090</v>
      </c>
      <c r="F114" s="157" t="s">
        <v>12</v>
      </c>
      <c r="H114" s="284" t="s">
        <v>12092</v>
      </c>
      <c r="I114" s="284" t="s">
        <v>9671</v>
      </c>
      <c r="J114" s="156" t="str">
        <f t="shared" si="2"/>
        <v>CobaltNadezhda Metallurgical Plant of MMC Norilsk Nickel's Polar Division</v>
      </c>
      <c r="K114" s="156" t="str">
        <f t="shared" si="3"/>
        <v>CobaltNadezhda Metallurgical Plant of MMC Norilsk Nickel's Polar Division</v>
      </c>
    </row>
    <row r="115" spans="1:11">
      <c r="A115" s="156" t="s">
        <v>40</v>
      </c>
      <c r="B115" s="156" t="s">
        <v>12240</v>
      </c>
      <c r="C115" s="156" t="s">
        <v>12240</v>
      </c>
      <c r="D115" s="284" t="s">
        <v>1806</v>
      </c>
      <c r="E115" s="284" t="s">
        <v>12241</v>
      </c>
      <c r="F115" s="157" t="s">
        <v>12</v>
      </c>
      <c r="H115" s="284" t="s">
        <v>12242</v>
      </c>
      <c r="I115" s="284" t="s">
        <v>11801</v>
      </c>
      <c r="J115" s="156" t="str">
        <f t="shared" si="2"/>
        <v>CobaltNam Viet Cromit Joint Stock Company</v>
      </c>
      <c r="K115" s="156" t="str">
        <f t="shared" si="3"/>
        <v>CobaltNam Viet Cromit Joint Stock Company</v>
      </c>
    </row>
    <row r="116" spans="1:11">
      <c r="A116" s="156" t="s">
        <v>40</v>
      </c>
      <c r="B116" s="156" t="s">
        <v>12243</v>
      </c>
      <c r="C116" s="156" t="s">
        <v>12240</v>
      </c>
      <c r="D116" s="284" t="s">
        <v>1806</v>
      </c>
      <c r="E116" s="284" t="s">
        <v>12241</v>
      </c>
      <c r="F116" s="157" t="s">
        <v>12</v>
      </c>
      <c r="H116" s="284" t="s">
        <v>12242</v>
      </c>
      <c r="I116" s="284" t="s">
        <v>11801</v>
      </c>
      <c r="J116" s="156" t="str">
        <f t="shared" si="2"/>
        <v>CobaltNan Viet Ferrochrome Co., Ltd.</v>
      </c>
      <c r="K116" s="156" t="str">
        <f t="shared" si="3"/>
        <v>CobaltNan Viet Ferrochrome Co., Ltd.</v>
      </c>
    </row>
    <row r="117" spans="1:11">
      <c r="A117" s="156" t="s">
        <v>40</v>
      </c>
      <c r="B117" s="156" t="s">
        <v>223</v>
      </c>
      <c r="C117" s="156" t="s">
        <v>224</v>
      </c>
      <c r="D117" s="284" t="s">
        <v>65</v>
      </c>
      <c r="E117" s="284" t="s">
        <v>225</v>
      </c>
      <c r="F117" s="157" t="s">
        <v>12</v>
      </c>
      <c r="H117" s="284" t="s">
        <v>226</v>
      </c>
      <c r="I117" s="284" t="s">
        <v>114</v>
      </c>
      <c r="J117" s="156" t="str">
        <f t="shared" si="2"/>
        <v>CobaltNantong Xinwei</v>
      </c>
      <c r="K117" s="156" t="str">
        <f t="shared" si="3"/>
        <v>CobaltNantong Xinwei</v>
      </c>
    </row>
    <row r="118" spans="1:11">
      <c r="A118" s="156" t="s">
        <v>40</v>
      </c>
      <c r="B118" s="156" t="s">
        <v>224</v>
      </c>
      <c r="C118" s="156" t="s">
        <v>224</v>
      </c>
      <c r="D118" s="284" t="s">
        <v>65</v>
      </c>
      <c r="E118" s="284" t="s">
        <v>225</v>
      </c>
      <c r="F118" s="157" t="s">
        <v>12</v>
      </c>
      <c r="H118" s="284" t="s">
        <v>226</v>
      </c>
      <c r="I118" s="284" t="s">
        <v>114</v>
      </c>
      <c r="J118" s="156" t="str">
        <f t="shared" si="2"/>
        <v>CobaltNantong Xinwei Nickel Cobalt Technology Development Co., Ltd.</v>
      </c>
      <c r="K118" s="156" t="str">
        <f t="shared" si="3"/>
        <v>CobaltNantong Xinwei Nickel Cobalt Technology Development Co., Ltd.</v>
      </c>
    </row>
    <row r="119" spans="1:11">
      <c r="A119" s="156" t="s">
        <v>40</v>
      </c>
      <c r="B119" s="156" t="s">
        <v>227</v>
      </c>
      <c r="C119" s="156" t="s">
        <v>12244</v>
      </c>
      <c r="D119" s="284" t="s">
        <v>65</v>
      </c>
      <c r="E119" s="284" t="s">
        <v>228</v>
      </c>
      <c r="F119" s="157" t="s">
        <v>12</v>
      </c>
      <c r="H119" s="284" t="s">
        <v>197</v>
      </c>
      <c r="I119" s="284" t="s">
        <v>198</v>
      </c>
      <c r="J119" s="156" t="str">
        <f t="shared" si="2"/>
        <v>CobaltNew Era Group Zhejiang Zhongneng Cycle Technology Co., Ltd.</v>
      </c>
      <c r="K119" s="156" t="str">
        <f t="shared" si="3"/>
        <v>CobaltNew Era Group Zhejiang Zhongneng Cycle Technology Co., Ltd.</v>
      </c>
    </row>
    <row r="120" spans="1:11">
      <c r="A120" s="156" t="s">
        <v>40</v>
      </c>
      <c r="B120" s="156" t="s">
        <v>229</v>
      </c>
      <c r="C120" s="156" t="s">
        <v>94</v>
      </c>
      <c r="D120" s="284" t="s">
        <v>95</v>
      </c>
      <c r="E120" s="284" t="s">
        <v>96</v>
      </c>
      <c r="F120" s="157" t="s">
        <v>12</v>
      </c>
      <c r="H120" s="284" t="s">
        <v>97</v>
      </c>
      <c r="I120" s="284" t="s">
        <v>98</v>
      </c>
      <c r="J120" s="156" t="str">
        <f t="shared" si="2"/>
        <v>CobaltNew Providence Metals Marketing Inc.</v>
      </c>
      <c r="K120" s="156" t="str">
        <f t="shared" si="3"/>
        <v>CobaltNew Providence Metals Marketing Inc.</v>
      </c>
    </row>
    <row r="121" spans="1:11">
      <c r="A121" s="156" t="s">
        <v>40</v>
      </c>
      <c r="B121" s="156" t="s">
        <v>230</v>
      </c>
      <c r="C121" s="156" t="s">
        <v>12093</v>
      </c>
      <c r="D121" s="284" t="s">
        <v>133</v>
      </c>
      <c r="E121" s="284" t="s">
        <v>232</v>
      </c>
      <c r="F121" s="157" t="s">
        <v>12</v>
      </c>
      <c r="H121" s="284" t="s">
        <v>233</v>
      </c>
      <c r="I121" s="284" t="s">
        <v>234</v>
      </c>
      <c r="J121" s="156" t="str">
        <f t="shared" si="2"/>
        <v>CobaltNiihama Nickel and Cobalt Facility</v>
      </c>
      <c r="K121" s="156" t="str">
        <f t="shared" si="3"/>
        <v>CobaltNiihama Nickel and Cobalt Facility</v>
      </c>
    </row>
    <row r="122" spans="1:11">
      <c r="A122" s="156" t="s">
        <v>40</v>
      </c>
      <c r="B122" s="156" t="s">
        <v>12131</v>
      </c>
      <c r="C122" s="156" t="s">
        <v>12093</v>
      </c>
      <c r="D122" s="284" t="s">
        <v>133</v>
      </c>
      <c r="E122" s="284" t="s">
        <v>232</v>
      </c>
      <c r="F122" s="157" t="s">
        <v>12</v>
      </c>
      <c r="H122" s="284" t="s">
        <v>233</v>
      </c>
      <c r="I122" s="284" t="s">
        <v>234</v>
      </c>
      <c r="J122" s="156" t="str">
        <f t="shared" si="2"/>
        <v>CobaltNiihama Nickel Refinery</v>
      </c>
      <c r="K122" s="156" t="str">
        <f t="shared" si="3"/>
        <v>CobaltNiihama Nickel Refinery</v>
      </c>
    </row>
    <row r="123" spans="1:11">
      <c r="A123" s="156" t="s">
        <v>40</v>
      </c>
      <c r="B123" s="156" t="s">
        <v>12093</v>
      </c>
      <c r="C123" s="156" t="s">
        <v>12093</v>
      </c>
      <c r="D123" s="284" t="s">
        <v>133</v>
      </c>
      <c r="E123" s="284" t="s">
        <v>232</v>
      </c>
      <c r="F123" s="157" t="s">
        <v>12</v>
      </c>
      <c r="H123" s="284" t="s">
        <v>233</v>
      </c>
      <c r="I123" s="284" t="s">
        <v>234</v>
      </c>
      <c r="J123" s="156" t="str">
        <f t="shared" si="2"/>
        <v>CobaltNiihama Nickel Refinery, Sumitomo Metal Mining</v>
      </c>
      <c r="K123" s="156" t="str">
        <f t="shared" si="3"/>
        <v>CobaltNiihama Nickel Refinery, Sumitomo Metal Mining</v>
      </c>
    </row>
    <row r="124" spans="1:11">
      <c r="A124" s="156" t="s">
        <v>40</v>
      </c>
      <c r="B124" s="156" t="s">
        <v>236</v>
      </c>
      <c r="C124" s="156" t="s">
        <v>236</v>
      </c>
      <c r="D124" s="284" t="s">
        <v>65</v>
      </c>
      <c r="E124" s="284" t="s">
        <v>237</v>
      </c>
      <c r="F124" s="157" t="s">
        <v>12</v>
      </c>
      <c r="H124" s="284" t="s">
        <v>235</v>
      </c>
      <c r="I124" s="284" t="s">
        <v>198</v>
      </c>
      <c r="J124" s="156" t="str">
        <f t="shared" si="2"/>
        <v>CobaltNingbo Yanmen Chemical Co., Ltd.</v>
      </c>
      <c r="K124" s="156" t="str">
        <f t="shared" si="3"/>
        <v>CobaltNingbo Yanmen Chemical Co., Ltd.</v>
      </c>
    </row>
    <row r="125" spans="1:11">
      <c r="A125" s="156" t="s">
        <v>40</v>
      </c>
      <c r="B125" s="156" t="s">
        <v>238</v>
      </c>
      <c r="C125" s="156" t="s">
        <v>238</v>
      </c>
      <c r="D125" s="284" t="s">
        <v>101</v>
      </c>
      <c r="E125" s="284" t="s">
        <v>239</v>
      </c>
      <c r="F125" s="157" t="s">
        <v>12</v>
      </c>
      <c r="H125" s="284" t="s">
        <v>240</v>
      </c>
      <c r="I125" s="284" t="s">
        <v>241</v>
      </c>
      <c r="J125" s="156" t="str">
        <f t="shared" si="2"/>
        <v>CobaltNORILSK NICKEL HARJAVALTA OY</v>
      </c>
      <c r="K125" s="156" t="str">
        <f t="shared" si="3"/>
        <v>CobaltNORILSK NICKEL HARJAVALTA OY</v>
      </c>
    </row>
    <row r="126" spans="1:11">
      <c r="A126" s="156" t="s">
        <v>40</v>
      </c>
      <c r="B126" s="156" t="s">
        <v>242</v>
      </c>
      <c r="C126" s="156" t="s">
        <v>242</v>
      </c>
      <c r="D126" s="284" t="s">
        <v>95</v>
      </c>
      <c r="E126" s="284" t="s">
        <v>243</v>
      </c>
      <c r="F126" s="157" t="s">
        <v>12</v>
      </c>
      <c r="H126" s="284" t="s">
        <v>244</v>
      </c>
      <c r="I126" s="284" t="s">
        <v>98</v>
      </c>
      <c r="J126" s="156" t="str">
        <f t="shared" si="2"/>
        <v>CobaltPort Colborne Refinery</v>
      </c>
      <c r="K126" s="156" t="str">
        <f t="shared" si="3"/>
        <v>CobaltPort Colborne Refinery</v>
      </c>
    </row>
    <row r="127" spans="1:11">
      <c r="A127" s="156" t="s">
        <v>40</v>
      </c>
      <c r="B127" s="156" t="s">
        <v>12307</v>
      </c>
      <c r="C127" s="156" t="s">
        <v>12307</v>
      </c>
      <c r="D127" s="284" t="s">
        <v>279</v>
      </c>
      <c r="E127" s="284" t="s">
        <v>280</v>
      </c>
      <c r="F127" s="157" t="s">
        <v>12</v>
      </c>
      <c r="H127" s="284" t="s">
        <v>12095</v>
      </c>
      <c r="I127" s="284" t="s">
        <v>12322</v>
      </c>
      <c r="J127" s="156" t="str">
        <f t="shared" si="2"/>
        <v>CobaltProny Resources New Caledonia</v>
      </c>
      <c r="K127" s="156" t="str">
        <f t="shared" si="3"/>
        <v>CobaltProny Resources New Caledonia</v>
      </c>
    </row>
    <row r="128" spans="1:11">
      <c r="A128" s="156" t="s">
        <v>40</v>
      </c>
      <c r="B128" s="156" t="s">
        <v>12308</v>
      </c>
      <c r="C128" s="156" t="s">
        <v>12308</v>
      </c>
      <c r="D128" s="284" t="s">
        <v>246</v>
      </c>
      <c r="E128" s="284" t="s">
        <v>12309</v>
      </c>
      <c r="F128" s="157" t="s">
        <v>12</v>
      </c>
      <c r="H128" s="284" t="s">
        <v>12310</v>
      </c>
      <c r="I128" s="284" t="s">
        <v>5431</v>
      </c>
      <c r="J128" s="156" t="str">
        <f t="shared" si="2"/>
        <v>CobaltPT Halmahera Persada Lygend</v>
      </c>
      <c r="K128" s="156" t="str">
        <f t="shared" si="3"/>
        <v>CobaltPT Halmahera Persada Lygend</v>
      </c>
    </row>
    <row r="129" spans="1:11">
      <c r="A129" s="156" t="s">
        <v>40</v>
      </c>
      <c r="B129" s="156" t="s">
        <v>19206</v>
      </c>
      <c r="C129" s="156" t="s">
        <v>19206</v>
      </c>
      <c r="D129" s="284" t="s">
        <v>246</v>
      </c>
      <c r="E129" s="284" t="s">
        <v>19207</v>
      </c>
      <c r="F129" s="157" t="s">
        <v>12</v>
      </c>
      <c r="H129" s="284" t="s">
        <v>19216</v>
      </c>
      <c r="I129" s="284" t="s">
        <v>5431</v>
      </c>
      <c r="J129" s="156" t="str">
        <f t="shared" si="2"/>
        <v>CobaltPT HUAFEI NICKEL COBALT</v>
      </c>
      <c r="K129" s="156" t="str">
        <f t="shared" si="3"/>
        <v>CobaltPT HUAFEI NICKEL COBALT</v>
      </c>
    </row>
    <row r="130" spans="1:11">
      <c r="A130" s="156" t="s">
        <v>40</v>
      </c>
      <c r="B130" s="156" t="s">
        <v>18949</v>
      </c>
      <c r="C130" s="156" t="s">
        <v>18949</v>
      </c>
      <c r="D130" s="284" t="s">
        <v>246</v>
      </c>
      <c r="E130" s="284" t="s">
        <v>19208</v>
      </c>
      <c r="F130" s="157" t="s">
        <v>12</v>
      </c>
      <c r="H130" s="284" t="s">
        <v>12313</v>
      </c>
      <c r="I130" s="284" t="s">
        <v>5457</v>
      </c>
      <c r="J130" s="156" t="str">
        <f t="shared" si="2"/>
        <v>CobaltPT HUAYUE NICKEL COBALT</v>
      </c>
      <c r="K130" s="156" t="str">
        <f t="shared" si="3"/>
        <v>CobaltPT HUAYUE NICKEL COBALT</v>
      </c>
    </row>
    <row r="131" spans="1:11">
      <c r="A131" s="156" t="s">
        <v>40</v>
      </c>
      <c r="B131" s="156" t="s">
        <v>245</v>
      </c>
      <c r="C131" s="156" t="s">
        <v>245</v>
      </c>
      <c r="D131" s="284" t="s">
        <v>246</v>
      </c>
      <c r="E131" s="284" t="s">
        <v>247</v>
      </c>
      <c r="F131" s="157" t="s">
        <v>12</v>
      </c>
      <c r="H131" s="284" t="s">
        <v>248</v>
      </c>
      <c r="I131" s="284" t="s">
        <v>249</v>
      </c>
      <c r="J131" s="156" t="str">
        <f t="shared" si="2"/>
        <v>CobaltPT Mechema Indonesia</v>
      </c>
      <c r="K131" s="156" t="str">
        <f t="shared" si="3"/>
        <v>CobaltPT Mechema Indonesia</v>
      </c>
    </row>
    <row r="132" spans="1:11">
      <c r="A132" s="156" t="s">
        <v>40</v>
      </c>
      <c r="B132" s="156" t="s">
        <v>19264</v>
      </c>
      <c r="C132" s="156" t="s">
        <v>19264</v>
      </c>
      <c r="D132" s="284" t="s">
        <v>246</v>
      </c>
      <c r="E132" s="284" t="s">
        <v>19265</v>
      </c>
      <c r="F132" s="157" t="s">
        <v>12</v>
      </c>
      <c r="H132" s="284" t="s">
        <v>20018</v>
      </c>
      <c r="I132" s="284" t="s">
        <v>20019</v>
      </c>
      <c r="J132" s="156" t="str">
        <f t="shared" si="2"/>
        <v>CobaltPT Obi Nickel Cobalt</v>
      </c>
      <c r="K132" s="156" t="str">
        <f t="shared" si="3"/>
        <v>CobaltPT Obi Nickel Cobalt</v>
      </c>
    </row>
    <row r="133" spans="1:11">
      <c r="A133" s="156" t="s">
        <v>40</v>
      </c>
      <c r="B133" s="156" t="s">
        <v>12311</v>
      </c>
      <c r="C133" s="156" t="s">
        <v>12311</v>
      </c>
      <c r="D133" s="284" t="s">
        <v>246</v>
      </c>
      <c r="E133" s="284" t="s">
        <v>12312</v>
      </c>
      <c r="F133" s="157" t="s">
        <v>12</v>
      </c>
      <c r="H133" s="284" t="s">
        <v>12313</v>
      </c>
      <c r="I133" s="284" t="s">
        <v>5457</v>
      </c>
      <c r="J133" s="156" t="str">
        <f t="shared" si="2"/>
        <v>CobaltPT QMB New Energy Materials</v>
      </c>
      <c r="K133" s="156" t="str">
        <f t="shared" si="3"/>
        <v>CobaltPT QMB New Energy Materials</v>
      </c>
    </row>
    <row r="134" spans="1:11">
      <c r="A134" s="156" t="s">
        <v>40</v>
      </c>
      <c r="B134" s="156" t="s">
        <v>250</v>
      </c>
      <c r="C134" s="156" t="s">
        <v>250</v>
      </c>
      <c r="D134" s="284" t="s">
        <v>65</v>
      </c>
      <c r="E134" s="284" t="s">
        <v>251</v>
      </c>
      <c r="F134" s="157" t="s">
        <v>12</v>
      </c>
      <c r="H134" s="284" t="s">
        <v>252</v>
      </c>
      <c r="I134" s="284" t="s">
        <v>198</v>
      </c>
      <c r="J134" s="156" t="str">
        <f t="shared" ref="J134:J197" si="4">A134&amp;B134</f>
        <v>CobaltQuzhou Huayou Cobalt New Material Co., Ltd.</v>
      </c>
      <c r="K134" s="156" t="str">
        <f t="shared" ref="K134:K197" si="5">A134&amp;B134</f>
        <v>CobaltQuzhou Huayou Cobalt New Material Co., Ltd.</v>
      </c>
    </row>
    <row r="135" spans="1:11">
      <c r="A135" s="156" t="s">
        <v>40</v>
      </c>
      <c r="B135" s="156" t="s">
        <v>253</v>
      </c>
      <c r="C135" s="156" t="s">
        <v>254</v>
      </c>
      <c r="D135" s="156" t="s">
        <v>60</v>
      </c>
      <c r="E135" s="156" t="s">
        <v>255</v>
      </c>
      <c r="F135" s="157" t="s">
        <v>12</v>
      </c>
      <c r="H135" s="284" t="s">
        <v>256</v>
      </c>
      <c r="I135" s="284" t="s">
        <v>63</v>
      </c>
      <c r="J135" s="156" t="str">
        <f t="shared" si="4"/>
        <v>CobaltRuashi</v>
      </c>
      <c r="K135" s="156" t="str">
        <f t="shared" si="5"/>
        <v>CobaltRuashi</v>
      </c>
    </row>
    <row r="136" spans="1:11">
      <c r="A136" s="156" t="s">
        <v>40</v>
      </c>
      <c r="B136" s="156" t="s">
        <v>254</v>
      </c>
      <c r="C136" s="156" t="s">
        <v>254</v>
      </c>
      <c r="D136" s="156" t="s">
        <v>60</v>
      </c>
      <c r="E136" s="156" t="s">
        <v>255</v>
      </c>
      <c r="F136" s="157" t="s">
        <v>12</v>
      </c>
      <c r="H136" s="284" t="s">
        <v>256</v>
      </c>
      <c r="I136" s="284" t="s">
        <v>63</v>
      </c>
      <c r="J136" s="156" t="str">
        <f t="shared" si="4"/>
        <v>CobaltRuashi Mining SAS</v>
      </c>
      <c r="K136" s="156" t="str">
        <f t="shared" si="5"/>
        <v>CobaltRuashi Mining SAS</v>
      </c>
    </row>
    <row r="137" spans="1:11">
      <c r="A137" s="156" t="s">
        <v>40</v>
      </c>
      <c r="B137" s="156" t="s">
        <v>12314</v>
      </c>
      <c r="C137" s="156" t="s">
        <v>12303</v>
      </c>
      <c r="D137" s="156" t="s">
        <v>60</v>
      </c>
      <c r="E137" s="156" t="s">
        <v>12305</v>
      </c>
      <c r="F137" s="157" t="s">
        <v>12</v>
      </c>
      <c r="H137" s="284" t="s">
        <v>12304</v>
      </c>
      <c r="I137" s="284" t="s">
        <v>180</v>
      </c>
      <c r="J137" s="156" t="str">
        <f t="shared" si="4"/>
        <v>CobaltRuiyilu Simple Resources Co., Ltd./ Luilu (Kolwezi)</v>
      </c>
      <c r="K137" s="156" t="str">
        <f t="shared" si="5"/>
        <v>CobaltRuiyilu Simple Resources Co., Ltd./ Luilu (Kolwezi)</v>
      </c>
    </row>
    <row r="138" spans="1:11">
      <c r="A138" s="156" t="s">
        <v>40</v>
      </c>
      <c r="B138" s="156" t="s">
        <v>257</v>
      </c>
      <c r="C138" s="156" t="s">
        <v>94</v>
      </c>
      <c r="D138" s="156" t="s">
        <v>95</v>
      </c>
      <c r="E138" s="156" t="s">
        <v>96</v>
      </c>
      <c r="F138" s="157" t="s">
        <v>12</v>
      </c>
      <c r="H138" s="284" t="s">
        <v>97</v>
      </c>
      <c r="I138" s="284" t="s">
        <v>98</v>
      </c>
      <c r="J138" s="156" t="str">
        <f t="shared" si="4"/>
        <v>CobaltSherritt</v>
      </c>
      <c r="K138" s="156" t="str">
        <f t="shared" si="5"/>
        <v>CobaltSherritt</v>
      </c>
    </row>
    <row r="139" spans="1:11">
      <c r="A139" s="156" t="s">
        <v>40</v>
      </c>
      <c r="B139" s="156" t="s">
        <v>12315</v>
      </c>
      <c r="C139" s="156" t="s">
        <v>12315</v>
      </c>
      <c r="D139" s="156" t="s">
        <v>65</v>
      </c>
      <c r="E139" s="156" t="s">
        <v>12316</v>
      </c>
      <c r="F139" s="157" t="s">
        <v>12</v>
      </c>
      <c r="H139" s="284" t="s">
        <v>12317</v>
      </c>
      <c r="I139" s="284" t="s">
        <v>3224</v>
      </c>
      <c r="J139" s="156" t="str">
        <f t="shared" si="4"/>
        <v>CobaltSichuan Jayson New Energy Technology Co., Ltd.</v>
      </c>
      <c r="K139" s="156" t="str">
        <f t="shared" si="5"/>
        <v>CobaltSichuan Jayson New Energy Technology Co., Ltd.</v>
      </c>
    </row>
    <row r="140" spans="1:11">
      <c r="A140" s="156" t="s">
        <v>40</v>
      </c>
      <c r="B140" s="156" t="s">
        <v>12318</v>
      </c>
      <c r="C140" s="156" t="s">
        <v>12303</v>
      </c>
      <c r="D140" s="156" t="s">
        <v>60</v>
      </c>
      <c r="E140" s="156" t="s">
        <v>12305</v>
      </c>
      <c r="F140" s="157" t="s">
        <v>12</v>
      </c>
      <c r="H140" s="284" t="s">
        <v>12304</v>
      </c>
      <c r="I140" s="284" t="s">
        <v>180</v>
      </c>
      <c r="J140" s="156" t="str">
        <f t="shared" si="4"/>
        <v>CobaltSimple Resources Co., Ltd.</v>
      </c>
      <c r="K140" s="156" t="str">
        <f t="shared" si="5"/>
        <v>CobaltSimple Resources Co., Ltd.</v>
      </c>
    </row>
    <row r="141" spans="1:11">
      <c r="A141" s="156" t="s">
        <v>40</v>
      </c>
      <c r="B141" s="156" t="s">
        <v>12319</v>
      </c>
      <c r="C141" s="156" t="s">
        <v>12319</v>
      </c>
      <c r="D141" s="156" t="s">
        <v>60</v>
      </c>
      <c r="E141" s="156" t="s">
        <v>12320</v>
      </c>
      <c r="F141" s="157" t="s">
        <v>12</v>
      </c>
      <c r="H141" s="284" t="s">
        <v>12321</v>
      </c>
      <c r="I141" s="284" t="s">
        <v>63</v>
      </c>
      <c r="J141" s="156" t="str">
        <f t="shared" si="4"/>
        <v>CobaltSOCIETE MINIERE DU KATANGA (Lupoto Plant)</v>
      </c>
      <c r="K141" s="156" t="str">
        <f t="shared" si="5"/>
        <v>CobaltSOCIETE MINIERE DU KATANGA (Lupoto Plant)</v>
      </c>
    </row>
    <row r="142" spans="1:11">
      <c r="A142" s="156" t="s">
        <v>40</v>
      </c>
      <c r="B142" s="156" t="s">
        <v>258</v>
      </c>
      <c r="C142" s="156" t="s">
        <v>258</v>
      </c>
      <c r="D142" s="156" t="s">
        <v>60</v>
      </c>
      <c r="E142" s="156" t="s">
        <v>259</v>
      </c>
      <c r="F142" s="157" t="s">
        <v>12</v>
      </c>
      <c r="H142" s="284" t="s">
        <v>62</v>
      </c>
      <c r="I142" s="284" t="s">
        <v>63</v>
      </c>
      <c r="J142" s="156" t="str">
        <f t="shared" si="4"/>
        <v>CobaltSociete pour le Traitment du Terril de Lubumbashi (STL)</v>
      </c>
      <c r="K142" s="156" t="str">
        <f t="shared" si="5"/>
        <v>CobaltSociete pour le Traitment du Terril de Lubumbashi (STL)</v>
      </c>
    </row>
    <row r="143" spans="1:11">
      <c r="A143" s="156" t="s">
        <v>40</v>
      </c>
      <c r="B143" s="156" t="s">
        <v>231</v>
      </c>
      <c r="C143" s="156" t="s">
        <v>12093</v>
      </c>
      <c r="D143" s="156" t="s">
        <v>133</v>
      </c>
      <c r="E143" s="156" t="s">
        <v>232</v>
      </c>
      <c r="F143" s="157" t="s">
        <v>12</v>
      </c>
      <c r="H143" s="284" t="s">
        <v>233</v>
      </c>
      <c r="I143" s="284" t="s">
        <v>234</v>
      </c>
      <c r="J143" s="156" t="str">
        <f t="shared" si="4"/>
        <v>CobaltSumitomo Metal Mining</v>
      </c>
      <c r="K143" s="156" t="str">
        <f t="shared" si="5"/>
        <v>CobaltSumitomo Metal Mining</v>
      </c>
    </row>
    <row r="144" spans="1:11">
      <c r="A144" s="156" t="s">
        <v>40</v>
      </c>
      <c r="B144" s="156" t="s">
        <v>260</v>
      </c>
      <c r="C144" s="156" t="s">
        <v>261</v>
      </c>
      <c r="D144" s="156" t="s">
        <v>81</v>
      </c>
      <c r="E144" s="156" t="s">
        <v>262</v>
      </c>
      <c r="F144" s="157" t="s">
        <v>12</v>
      </c>
      <c r="H144" s="284" t="s">
        <v>263</v>
      </c>
      <c r="I144" s="284" t="s">
        <v>264</v>
      </c>
      <c r="J144" s="156" t="str">
        <f t="shared" si="4"/>
        <v>CobaltSungEel HiMetal Co., Ltd.</v>
      </c>
      <c r="K144" s="156" t="str">
        <f t="shared" si="5"/>
        <v>CobaltSungEel HiMetal Co., Ltd.</v>
      </c>
    </row>
    <row r="145" spans="1:11">
      <c r="A145" s="156" t="s">
        <v>40</v>
      </c>
      <c r="B145" s="156" t="s">
        <v>261</v>
      </c>
      <c r="C145" s="156" t="s">
        <v>261</v>
      </c>
      <c r="D145" s="156" t="s">
        <v>81</v>
      </c>
      <c r="E145" s="156" t="s">
        <v>262</v>
      </c>
      <c r="F145" s="157" t="s">
        <v>12</v>
      </c>
      <c r="H145" s="284" t="s">
        <v>263</v>
      </c>
      <c r="I145" s="284" t="s">
        <v>264</v>
      </c>
      <c r="J145" s="156" t="str">
        <f t="shared" si="4"/>
        <v>CobaltSungEel HiTech Co., Ltd.</v>
      </c>
      <c r="K145" s="156" t="str">
        <f t="shared" si="5"/>
        <v>CobaltSungEel HiTech Co., Ltd.</v>
      </c>
    </row>
    <row r="146" spans="1:11">
      <c r="A146" s="156" t="s">
        <v>40</v>
      </c>
      <c r="B146" s="156" t="s">
        <v>18954</v>
      </c>
      <c r="C146" s="156" t="s">
        <v>18955</v>
      </c>
      <c r="D146" s="156" t="s">
        <v>1679</v>
      </c>
      <c r="E146" s="156" t="s">
        <v>19209</v>
      </c>
      <c r="F146" s="157" t="s">
        <v>12</v>
      </c>
      <c r="H146" s="284" t="s">
        <v>19217</v>
      </c>
      <c r="I146" s="284" t="s">
        <v>9071</v>
      </c>
      <c r="J146" s="156" t="str">
        <f t="shared" si="4"/>
        <v>CobaltTaganito HPAL Nickel Corp.</v>
      </c>
      <c r="K146" s="156" t="str">
        <f t="shared" si="5"/>
        <v>CobaltTaganito HPAL Nickel Corp.</v>
      </c>
    </row>
    <row r="147" spans="1:11">
      <c r="A147" s="156" t="s">
        <v>40</v>
      </c>
      <c r="B147" s="156" t="s">
        <v>18955</v>
      </c>
      <c r="C147" s="156" t="s">
        <v>18955</v>
      </c>
      <c r="D147" s="156" t="s">
        <v>1679</v>
      </c>
      <c r="E147" s="156" t="s">
        <v>19209</v>
      </c>
      <c r="F147" s="157" t="s">
        <v>12</v>
      </c>
      <c r="H147" s="284" t="s">
        <v>19217</v>
      </c>
      <c r="I147" s="284" t="s">
        <v>9071</v>
      </c>
      <c r="J147" s="156" t="str">
        <f t="shared" si="4"/>
        <v>CobaltTaganito HPAL Nickel Corporation (THPAL)</v>
      </c>
      <c r="K147" s="156" t="str">
        <f t="shared" si="5"/>
        <v>CobaltTaganito HPAL Nickel Corporation (THPAL)</v>
      </c>
    </row>
    <row r="148" spans="1:11">
      <c r="A148" s="156" t="s">
        <v>40</v>
      </c>
      <c r="B148" s="156" t="s">
        <v>265</v>
      </c>
      <c r="C148" s="156" t="s">
        <v>12094</v>
      </c>
      <c r="D148" s="156" t="s">
        <v>60</v>
      </c>
      <c r="E148" s="156" t="s">
        <v>267</v>
      </c>
      <c r="F148" s="157" t="s">
        <v>12</v>
      </c>
      <c r="H148" s="284" t="s">
        <v>19218</v>
      </c>
      <c r="I148" s="284" t="s">
        <v>180</v>
      </c>
      <c r="J148" s="156" t="str">
        <f t="shared" si="4"/>
        <v>CobaltTenke Fungrume Mining (TFM)</v>
      </c>
      <c r="K148" s="156" t="str">
        <f t="shared" si="5"/>
        <v>CobaltTenke Fungrume Mining (TFM)</v>
      </c>
    </row>
    <row r="149" spans="1:11">
      <c r="A149" s="156" t="s">
        <v>40</v>
      </c>
      <c r="B149" s="156" t="s">
        <v>266</v>
      </c>
      <c r="C149" s="156" t="s">
        <v>12094</v>
      </c>
      <c r="D149" s="156" t="s">
        <v>60</v>
      </c>
      <c r="E149" s="156" t="s">
        <v>267</v>
      </c>
      <c r="F149" s="157" t="s">
        <v>12</v>
      </c>
      <c r="H149" s="284" t="s">
        <v>19218</v>
      </c>
      <c r="I149" s="284" t="s">
        <v>180</v>
      </c>
      <c r="J149" s="156" t="str">
        <f t="shared" si="4"/>
        <v>CobaltTenke Fungurume</v>
      </c>
      <c r="K149" s="156" t="str">
        <f t="shared" si="5"/>
        <v>CobaltTenke Fungurume</v>
      </c>
    </row>
    <row r="150" spans="1:11">
      <c r="A150" s="156" t="s">
        <v>40</v>
      </c>
      <c r="B150" s="156" t="s">
        <v>12094</v>
      </c>
      <c r="C150" s="156" t="s">
        <v>12094</v>
      </c>
      <c r="D150" s="156" t="s">
        <v>60</v>
      </c>
      <c r="E150" s="156" t="s">
        <v>267</v>
      </c>
      <c r="F150" s="157" t="s">
        <v>12</v>
      </c>
      <c r="H150" s="284" t="s">
        <v>19218</v>
      </c>
      <c r="I150" s="284" t="s">
        <v>180</v>
      </c>
      <c r="J150" s="156" t="str">
        <f t="shared" si="4"/>
        <v>CobaltTenke Fungurume Mining SA</v>
      </c>
      <c r="K150" s="156" t="str">
        <f t="shared" si="5"/>
        <v>CobaltTenke Fungurume Mining SA</v>
      </c>
    </row>
    <row r="151" spans="1:11">
      <c r="A151" s="156" t="s">
        <v>40</v>
      </c>
      <c r="B151" s="156" t="s">
        <v>268</v>
      </c>
      <c r="C151" s="156" t="s">
        <v>86</v>
      </c>
      <c r="D151" s="156" t="s">
        <v>87</v>
      </c>
      <c r="E151" s="156" t="s">
        <v>88</v>
      </c>
      <c r="F151" s="157" t="s">
        <v>12</v>
      </c>
      <c r="H151" s="284" t="s">
        <v>89</v>
      </c>
      <c r="I151" s="284" t="s">
        <v>89</v>
      </c>
      <c r="J151" s="156" t="str">
        <f t="shared" si="4"/>
        <v>CobaltThe Ambatovy</v>
      </c>
      <c r="K151" s="156" t="str">
        <f t="shared" si="5"/>
        <v>CobaltThe Ambatovy</v>
      </c>
    </row>
    <row r="152" spans="1:1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5"/>
        <v>CobaltUmicore Finland Oy</v>
      </c>
    </row>
    <row r="153" spans="1:11">
      <c r="A153" s="156" t="s">
        <v>40</v>
      </c>
      <c r="B153" s="156" t="s">
        <v>269</v>
      </c>
      <c r="C153" s="156" t="s">
        <v>269</v>
      </c>
      <c r="D153" s="156" t="s">
        <v>270</v>
      </c>
      <c r="E153" s="156" t="s">
        <v>271</v>
      </c>
      <c r="F153" s="157" t="s">
        <v>12</v>
      </c>
      <c r="H153" s="284" t="s">
        <v>272</v>
      </c>
      <c r="I153" s="284" t="s">
        <v>273</v>
      </c>
      <c r="J153" s="156" t="str">
        <f t="shared" si="4"/>
        <v>CobaltUmicore Olen</v>
      </c>
      <c r="K153" s="156" t="str">
        <f t="shared" si="5"/>
        <v>CobaltUmicore Olen</v>
      </c>
    </row>
    <row r="154" spans="1:11">
      <c r="A154" s="156" t="s">
        <v>40</v>
      </c>
      <c r="B154" s="156" t="s">
        <v>19194</v>
      </c>
      <c r="C154" s="156" t="s">
        <v>19194</v>
      </c>
      <c r="D154" s="156" t="s">
        <v>76</v>
      </c>
      <c r="E154" s="156" t="s">
        <v>77</v>
      </c>
      <c r="F154" s="157" t="s">
        <v>12</v>
      </c>
      <c r="H154" s="284" t="s">
        <v>78</v>
      </c>
      <c r="I154" s="284" t="s">
        <v>79</v>
      </c>
      <c r="J154" s="156" t="str">
        <f t="shared" si="4"/>
        <v>CobaltUranus Chemicals</v>
      </c>
      <c r="K154" s="156" t="str">
        <f t="shared" si="5"/>
        <v>CobaltUranus Chemicals</v>
      </c>
    </row>
    <row r="155" spans="1:11">
      <c r="A155" s="156" t="s">
        <v>40</v>
      </c>
      <c r="B155" s="156" t="s">
        <v>19210</v>
      </c>
      <c r="C155" s="156" t="s">
        <v>19210</v>
      </c>
      <c r="D155" s="156" t="s">
        <v>95</v>
      </c>
      <c r="E155" s="156" t="s">
        <v>275</v>
      </c>
      <c r="F155" s="157" t="s">
        <v>12</v>
      </c>
      <c r="H155" s="284" t="s">
        <v>276</v>
      </c>
      <c r="I155" s="284" t="s">
        <v>277</v>
      </c>
      <c r="J155" s="156" t="str">
        <f t="shared" si="4"/>
        <v>CobaltVale - Long Harbour Processing Plant (LHPP)</v>
      </c>
      <c r="K155" s="156" t="str">
        <f t="shared" si="5"/>
        <v>CobaltVale - Long Harbour Processing Plant (LHPP)</v>
      </c>
    </row>
    <row r="156" spans="1:11">
      <c r="A156" s="156" t="s">
        <v>40</v>
      </c>
      <c r="B156" s="156" t="s">
        <v>274</v>
      </c>
      <c r="C156" s="156" t="s">
        <v>19210</v>
      </c>
      <c r="D156" s="156" t="s">
        <v>95</v>
      </c>
      <c r="E156" s="156" t="s">
        <v>275</v>
      </c>
      <c r="F156" s="157" t="s">
        <v>12</v>
      </c>
      <c r="H156" s="284" t="s">
        <v>276</v>
      </c>
      <c r="I156" s="284" t="s">
        <v>277</v>
      </c>
      <c r="J156" s="156" t="str">
        <f t="shared" si="4"/>
        <v>CobaltVale – Long Harbour Processing Plant (LHPP)</v>
      </c>
      <c r="K156" s="156" t="str">
        <f t="shared" si="5"/>
        <v>CobaltVale – Long Harbour Processing Plant (LHPP)</v>
      </c>
    </row>
    <row r="157" spans="1:11">
      <c r="A157" s="156" t="s">
        <v>40</v>
      </c>
      <c r="B157" s="156" t="s">
        <v>278</v>
      </c>
      <c r="C157" s="156" t="s">
        <v>12307</v>
      </c>
      <c r="D157" s="156" t="s">
        <v>279</v>
      </c>
      <c r="E157" s="156" t="s">
        <v>280</v>
      </c>
      <c r="F157" s="157" t="s">
        <v>12</v>
      </c>
      <c r="H157" s="284" t="s">
        <v>12095</v>
      </c>
      <c r="I157" s="284" t="s">
        <v>12322</v>
      </c>
      <c r="J157" s="156" t="str">
        <f t="shared" si="4"/>
        <v>CobaltVale New Caledonia</v>
      </c>
      <c r="K157" s="156" t="str">
        <f t="shared" si="5"/>
        <v>CobaltVale New Caledonia</v>
      </c>
    </row>
    <row r="158" spans="1:11">
      <c r="A158" s="156" t="s">
        <v>40</v>
      </c>
      <c r="B158" s="156" t="s">
        <v>12245</v>
      </c>
      <c r="C158" s="156" t="s">
        <v>12307</v>
      </c>
      <c r="D158" s="156" t="s">
        <v>279</v>
      </c>
      <c r="E158" s="156" t="s">
        <v>280</v>
      </c>
      <c r="F158" s="157" t="s">
        <v>12</v>
      </c>
      <c r="H158" s="284" t="s">
        <v>12095</v>
      </c>
      <c r="I158" s="284" t="s">
        <v>12322</v>
      </c>
      <c r="J158" s="156" t="str">
        <f t="shared" si="4"/>
        <v>CobaltVale Nouvelle-Caledonie S.A.S</v>
      </c>
      <c r="K158" s="156" t="str">
        <f t="shared" si="5"/>
        <v>CobaltVale Nouvelle-Caledonie S.A.S</v>
      </c>
    </row>
    <row r="159" spans="1:11">
      <c r="A159" s="156" t="s">
        <v>40</v>
      </c>
      <c r="B159" s="156" t="s">
        <v>12097</v>
      </c>
      <c r="C159" s="156" t="s">
        <v>20010</v>
      </c>
      <c r="D159" s="156" t="s">
        <v>65</v>
      </c>
      <c r="E159" s="156" t="s">
        <v>12096</v>
      </c>
      <c r="F159" s="157" t="s">
        <v>12</v>
      </c>
      <c r="H159" s="284" t="s">
        <v>12099</v>
      </c>
      <c r="I159" s="284" t="s">
        <v>122</v>
      </c>
      <c r="J159" s="156" t="str">
        <f t="shared" si="4"/>
        <v>CobaltVital Materials Plant</v>
      </c>
      <c r="K159" s="156" t="str">
        <f t="shared" si="5"/>
        <v>CobaltVital Materials Plant</v>
      </c>
    </row>
    <row r="160" spans="1:11">
      <c r="A160" s="156" t="s">
        <v>40</v>
      </c>
      <c r="B160" s="156" t="s">
        <v>12098</v>
      </c>
      <c r="C160" s="156" t="s">
        <v>12098</v>
      </c>
      <c r="D160" s="156" t="s">
        <v>65</v>
      </c>
      <c r="E160" s="156" t="s">
        <v>281</v>
      </c>
      <c r="F160" s="157" t="s">
        <v>12</v>
      </c>
      <c r="H160" s="284" t="s">
        <v>12099</v>
      </c>
      <c r="I160" s="284" t="s">
        <v>122</v>
      </c>
      <c r="J160" s="156" t="str">
        <f t="shared" si="4"/>
        <v>CobaltVital Materials Workshop</v>
      </c>
      <c r="K160" s="156" t="str">
        <f t="shared" si="5"/>
        <v>CobaltVital Materials Workshop</v>
      </c>
    </row>
    <row r="161" spans="1:11">
      <c r="A161" s="156" t="s">
        <v>40</v>
      </c>
      <c r="B161" s="156" t="s">
        <v>12098</v>
      </c>
      <c r="C161" s="156" t="s">
        <v>20010</v>
      </c>
      <c r="D161" s="156" t="s">
        <v>65</v>
      </c>
      <c r="E161" s="156" t="s">
        <v>12096</v>
      </c>
      <c r="F161" s="157" t="s">
        <v>12</v>
      </c>
      <c r="H161" s="284" t="s">
        <v>12099</v>
      </c>
      <c r="I161" s="284" t="s">
        <v>122</v>
      </c>
      <c r="J161" s="156" t="str">
        <f t="shared" si="4"/>
        <v>CobaltVital Materials Workshop</v>
      </c>
      <c r="K161" s="156" t="str">
        <f t="shared" si="5"/>
        <v>CobaltVital Materials Workshop</v>
      </c>
    </row>
    <row r="162" spans="1:11">
      <c r="A162" s="156" t="s">
        <v>40</v>
      </c>
      <c r="B162" s="156" t="s">
        <v>282</v>
      </c>
      <c r="C162" s="156" t="s">
        <v>282</v>
      </c>
      <c r="D162" s="156" t="s">
        <v>65</v>
      </c>
      <c r="E162" s="156" t="s">
        <v>283</v>
      </c>
      <c r="F162" s="157" t="s">
        <v>12</v>
      </c>
      <c r="H162" s="284" t="s">
        <v>92</v>
      </c>
      <c r="I162" s="284" t="s">
        <v>93</v>
      </c>
      <c r="J162" s="156" t="str">
        <f t="shared" si="4"/>
        <v>CobaltW&amp;Q Metal Products Co., Limited</v>
      </c>
      <c r="K162" s="156" t="str">
        <f t="shared" si="5"/>
        <v>CobaltW&amp;Q Metal Products Co., Limited</v>
      </c>
    </row>
    <row r="163" spans="1:11">
      <c r="A163" s="156" t="s">
        <v>40</v>
      </c>
      <c r="B163" s="156" t="s">
        <v>20020</v>
      </c>
      <c r="C163" s="156" t="s">
        <v>20020</v>
      </c>
      <c r="D163" s="156" t="s">
        <v>65</v>
      </c>
      <c r="E163" s="156" t="s">
        <v>20021</v>
      </c>
      <c r="F163" s="157" t="s">
        <v>12</v>
      </c>
      <c r="H163" s="284" t="s">
        <v>20022</v>
      </c>
      <c r="I163" s="284" t="s">
        <v>20023</v>
      </c>
      <c r="J163" s="156" t="str">
        <f t="shared" si="4"/>
        <v>CobaltWanhua Chemical Hydrometallurgy Unit</v>
      </c>
      <c r="K163" s="156" t="str">
        <f t="shared" si="5"/>
        <v>CobaltWanhua Chemical Hydrometallurgy Unit</v>
      </c>
    </row>
    <row r="164" spans="1:11">
      <c r="A164" s="156" t="s">
        <v>40</v>
      </c>
      <c r="B164" s="156" t="s">
        <v>284</v>
      </c>
      <c r="C164" s="156" t="s">
        <v>163</v>
      </c>
      <c r="D164" s="156" t="s">
        <v>65</v>
      </c>
      <c r="E164" s="156" t="s">
        <v>164</v>
      </c>
      <c r="F164" s="157" t="s">
        <v>12</v>
      </c>
      <c r="H164" s="284" t="s">
        <v>165</v>
      </c>
      <c r="I164" s="284" t="s">
        <v>114</v>
      </c>
      <c r="J164" s="156" t="str">
        <f t="shared" si="4"/>
        <v>CobaltXiongfeng</v>
      </c>
      <c r="K164" s="156" t="str">
        <f t="shared" si="5"/>
        <v>CobaltXiongfeng</v>
      </c>
    </row>
    <row r="165" spans="1:11">
      <c r="A165" s="156" t="s">
        <v>40</v>
      </c>
      <c r="B165" s="156" t="s">
        <v>285</v>
      </c>
      <c r="C165" s="156" t="s">
        <v>285</v>
      </c>
      <c r="D165" s="156" t="s">
        <v>65</v>
      </c>
      <c r="E165" s="156" t="s">
        <v>286</v>
      </c>
      <c r="F165" s="157" t="s">
        <v>12</v>
      </c>
      <c r="H165" s="284" t="s">
        <v>287</v>
      </c>
      <c r="I165" s="284" t="s">
        <v>288</v>
      </c>
      <c r="J165" s="156" t="str">
        <f t="shared" si="4"/>
        <v>CobaltXTC New Energy Materials (Xiamen) LTD.</v>
      </c>
      <c r="K165" s="156" t="str">
        <f t="shared" si="5"/>
        <v>CobaltXTC New Energy Materials (Xiamen) LTD.</v>
      </c>
    </row>
    <row r="166" spans="1:11">
      <c r="A166" s="156" t="s">
        <v>40</v>
      </c>
      <c r="B166" s="156" t="s">
        <v>19266</v>
      </c>
      <c r="C166" s="156" t="s">
        <v>19266</v>
      </c>
      <c r="D166" s="156" t="s">
        <v>65</v>
      </c>
      <c r="E166" s="156" t="s">
        <v>19267</v>
      </c>
      <c r="F166" s="157" t="s">
        <v>12</v>
      </c>
      <c r="H166" s="284" t="s">
        <v>19268</v>
      </c>
      <c r="I166" s="284" t="s">
        <v>171</v>
      </c>
      <c r="J166" s="156" t="str">
        <f t="shared" si="4"/>
        <v>CobaltYichang Brunp Contemporary Amperex Co., Ltd.</v>
      </c>
      <c r="K166" s="156" t="str">
        <f t="shared" si="5"/>
        <v>CobaltYichang Brunp Contemporary Amperex Co., Ltd.</v>
      </c>
    </row>
    <row r="167" spans="1:11">
      <c r="A167" s="156" t="s">
        <v>40</v>
      </c>
      <c r="B167" s="156" t="s">
        <v>19269</v>
      </c>
      <c r="C167" s="156" t="s">
        <v>19269</v>
      </c>
      <c r="D167" s="156" t="s">
        <v>65</v>
      </c>
      <c r="E167" s="156" t="s">
        <v>19270</v>
      </c>
      <c r="F167" s="157" t="s">
        <v>12</v>
      </c>
      <c r="H167" s="284" t="s">
        <v>19268</v>
      </c>
      <c r="I167" s="284" t="s">
        <v>171</v>
      </c>
      <c r="J167" s="156" t="str">
        <f t="shared" si="4"/>
        <v>CobaltYichang Yihua-Brunp New Material Co., Ltd.</v>
      </c>
      <c r="K167" s="156" t="str">
        <f t="shared" si="5"/>
        <v>CobaltYichang Yihua-Brunp New Material Co., Ltd.</v>
      </c>
    </row>
    <row r="168" spans="1:11">
      <c r="A168" s="156" t="s">
        <v>40</v>
      </c>
      <c r="B168" s="156" t="s">
        <v>12100</v>
      </c>
      <c r="C168" s="156" t="s">
        <v>12100</v>
      </c>
      <c r="D168" s="156" t="s">
        <v>65</v>
      </c>
      <c r="E168" s="156" t="s">
        <v>294</v>
      </c>
      <c r="F168" s="157" t="s">
        <v>12</v>
      </c>
      <c r="H168" s="284" t="s">
        <v>197</v>
      </c>
      <c r="I168" s="284" t="s">
        <v>198</v>
      </c>
      <c r="J168" s="156" t="str">
        <f t="shared" si="4"/>
        <v>CobaltZhejiang Greatpower Cobalt Materials Co., Ltd.</v>
      </c>
      <c r="K168" s="156" t="str">
        <f t="shared" si="5"/>
        <v>CobaltZhejiang Greatpower Cobalt Materials Co., Ltd.</v>
      </c>
    </row>
    <row r="169" spans="1:11">
      <c r="A169" s="156" t="s">
        <v>40</v>
      </c>
      <c r="B169" s="156" t="s">
        <v>19211</v>
      </c>
      <c r="C169" s="156" t="s">
        <v>290</v>
      </c>
      <c r="D169" s="156" t="s">
        <v>65</v>
      </c>
      <c r="E169" s="156" t="s">
        <v>291</v>
      </c>
      <c r="F169" s="157" t="s">
        <v>12</v>
      </c>
      <c r="H169" s="284" t="s">
        <v>292</v>
      </c>
      <c r="I169" s="284" t="s">
        <v>198</v>
      </c>
      <c r="J169" s="156" t="str">
        <f t="shared" si="4"/>
        <v>CobaltZhejiang Huayou Cobalt &amp; Nickel Co., Ltd.</v>
      </c>
      <c r="K169" s="156" t="str">
        <f t="shared" si="5"/>
        <v>CobaltZhejiang Huayou Cobalt &amp; Nickel Co., Ltd.</v>
      </c>
    </row>
    <row r="170" spans="1:11">
      <c r="A170" s="156" t="s">
        <v>40</v>
      </c>
      <c r="B170" s="156" t="s">
        <v>289</v>
      </c>
      <c r="C170" s="156" t="s">
        <v>290</v>
      </c>
      <c r="D170" s="156" t="s">
        <v>65</v>
      </c>
      <c r="E170" s="156" t="s">
        <v>291</v>
      </c>
      <c r="F170" s="157" t="s">
        <v>12</v>
      </c>
      <c r="H170" s="284" t="s">
        <v>292</v>
      </c>
      <c r="I170" s="284" t="s">
        <v>198</v>
      </c>
      <c r="J170" s="156" t="str">
        <f t="shared" si="4"/>
        <v>CobaltZhejiang Huayou Cobalt Co., Ltd.</v>
      </c>
      <c r="K170" s="156" t="str">
        <f t="shared" si="5"/>
        <v>CobaltZhejiang Huayou Cobalt Co., Ltd.</v>
      </c>
    </row>
    <row r="171" spans="1:11">
      <c r="A171" s="156" t="s">
        <v>40</v>
      </c>
      <c r="B171" s="156" t="s">
        <v>290</v>
      </c>
      <c r="C171" s="156" t="s">
        <v>290</v>
      </c>
      <c r="D171" s="156" t="s">
        <v>65</v>
      </c>
      <c r="E171" s="156" t="s">
        <v>291</v>
      </c>
      <c r="F171" s="157" t="s">
        <v>12</v>
      </c>
      <c r="H171" s="284" t="s">
        <v>292</v>
      </c>
      <c r="I171" s="284" t="s">
        <v>198</v>
      </c>
      <c r="J171" s="156" t="str">
        <f t="shared" si="4"/>
        <v>CobaltZhejiang Huayou Cobalt Company Limited</v>
      </c>
      <c r="K171" s="156" t="str">
        <f t="shared" si="5"/>
        <v>CobaltZhejiang Huayou Cobalt Company Limited</v>
      </c>
    </row>
    <row r="172" spans="1:11">
      <c r="A172" s="156" t="s">
        <v>40</v>
      </c>
      <c r="B172" s="156" t="s">
        <v>12244</v>
      </c>
      <c r="C172" s="156" t="s">
        <v>12244</v>
      </c>
      <c r="D172" s="156" t="s">
        <v>65</v>
      </c>
      <c r="E172" s="156" t="s">
        <v>228</v>
      </c>
      <c r="F172" s="157" t="s">
        <v>12</v>
      </c>
      <c r="H172" s="284" t="s">
        <v>197</v>
      </c>
      <c r="I172" s="284" t="s">
        <v>198</v>
      </c>
      <c r="J172" s="156" t="str">
        <f t="shared" si="4"/>
        <v>CobaltZhejiang New Era Zhongneng Technology Co., Ltd.</v>
      </c>
      <c r="K172" s="156" t="str">
        <f t="shared" si="5"/>
        <v>CobaltZhejiang New Era Zhongneng Technology Co., Ltd.</v>
      </c>
    </row>
    <row r="173" spans="1:11">
      <c r="A173" s="156" t="s">
        <v>40</v>
      </c>
      <c r="B173" s="156" t="s">
        <v>293</v>
      </c>
      <c r="C173" s="156" t="s">
        <v>12100</v>
      </c>
      <c r="D173" s="156" t="s">
        <v>65</v>
      </c>
      <c r="E173" s="156" t="s">
        <v>294</v>
      </c>
      <c r="F173" s="157" t="s">
        <v>12</v>
      </c>
      <c r="H173" s="284" t="s">
        <v>197</v>
      </c>
      <c r="I173" s="284" t="s">
        <v>198</v>
      </c>
      <c r="J173" s="156" t="str">
        <f t="shared" si="4"/>
        <v>CobaltZhejiang Zhongjin Greatpower Lithium-Battery Industrial Corporation Co., Ltd.</v>
      </c>
      <c r="K173" s="156" t="str">
        <f t="shared" si="5"/>
        <v>CobaltZhejiang Zhongjin Greatpower Lithium-Battery Industrial Corporation Co., Ltd.</v>
      </c>
    </row>
    <row r="174" spans="1:11">
      <c r="A174" s="156" t="s">
        <v>40</v>
      </c>
      <c r="B174" s="156" t="s">
        <v>295</v>
      </c>
      <c r="C174" s="156" t="s">
        <v>295</v>
      </c>
      <c r="D174" s="156" t="s">
        <v>65</v>
      </c>
      <c r="E174" s="156" t="s">
        <v>296</v>
      </c>
      <c r="F174" s="157" t="s">
        <v>12</v>
      </c>
      <c r="H174" s="284" t="s">
        <v>297</v>
      </c>
      <c r="I174" s="284" t="s">
        <v>122</v>
      </c>
      <c r="J174" s="156" t="str">
        <f t="shared" si="4"/>
        <v>CobaltZhuhai Kelixin Metal Materials Co., Ltd.</v>
      </c>
      <c r="K174" s="156" t="str">
        <f t="shared" si="5"/>
        <v>CobaltZhuhai Kelixin Metal Materials Co., Ltd.</v>
      </c>
    </row>
    <row r="175" spans="1:11">
      <c r="A175" s="156" t="s">
        <v>40</v>
      </c>
      <c r="B175" s="156" t="s">
        <v>20024</v>
      </c>
      <c r="C175" s="156" t="s">
        <v>20024</v>
      </c>
      <c r="D175" s="156" t="s">
        <v>1820</v>
      </c>
      <c r="E175" s="156" t="s">
        <v>20025</v>
      </c>
      <c r="F175" s="157" t="s">
        <v>12</v>
      </c>
      <c r="H175" s="284" t="s">
        <v>20026</v>
      </c>
      <c r="I175" s="284" t="s">
        <v>12077</v>
      </c>
      <c r="J175" s="156" t="str">
        <f t="shared" si="4"/>
        <v>CobaltZimbabwe Platinum Mines Private Limited</v>
      </c>
      <c r="K175" s="156" t="str">
        <f t="shared" si="5"/>
        <v>CobaltZimbabwe Platinum Mines Private Limited</v>
      </c>
    </row>
    <row r="176" spans="1:11">
      <c r="A176" s="156" t="s">
        <v>40</v>
      </c>
      <c r="B176" s="156" t="s">
        <v>20027</v>
      </c>
      <c r="C176" s="156" t="s">
        <v>20024</v>
      </c>
      <c r="D176" s="156" t="s">
        <v>1820</v>
      </c>
      <c r="E176" s="156" t="s">
        <v>20025</v>
      </c>
      <c r="F176" s="157" t="s">
        <v>12</v>
      </c>
      <c r="H176" s="284" t="s">
        <v>20026</v>
      </c>
      <c r="I176" s="284" t="s">
        <v>12077</v>
      </c>
      <c r="J176" s="156" t="str">
        <f t="shared" si="4"/>
        <v>CobaltZIMPLATS</v>
      </c>
      <c r="K176" s="156" t="str">
        <f t="shared" si="5"/>
        <v>CobaltZIMPLATS</v>
      </c>
    </row>
    <row r="177" spans="1:11">
      <c r="A177" s="156" t="s">
        <v>40</v>
      </c>
      <c r="B177" s="156" t="s">
        <v>298</v>
      </c>
      <c r="H177" s="157"/>
      <c r="J177" s="156" t="str">
        <f t="shared" si="4"/>
        <v>CobaltSmelter not listed</v>
      </c>
      <c r="K177" s="156" t="str">
        <f t="shared" si="5"/>
        <v>CobaltSmelter not listed</v>
      </c>
    </row>
    <row r="178" spans="1:11">
      <c r="A178" s="156" t="s">
        <v>40</v>
      </c>
      <c r="B178" s="156" t="s">
        <v>45</v>
      </c>
      <c r="C178" s="156" t="s">
        <v>26</v>
      </c>
      <c r="H178" s="157"/>
      <c r="J178" s="156" t="str">
        <f t="shared" si="4"/>
        <v>CobaltSmelter not yet identified</v>
      </c>
      <c r="K178" s="156" t="str">
        <f t="shared" si="5"/>
        <v>CobaltSmelter not yet identified</v>
      </c>
    </row>
    <row r="179" spans="1:11">
      <c r="A179" s="156" t="s">
        <v>40</v>
      </c>
      <c r="B179" s="156" t="s">
        <v>20027</v>
      </c>
      <c r="C179" s="156" t="s">
        <v>20024</v>
      </c>
      <c r="D179" s="156" t="s">
        <v>1820</v>
      </c>
      <c r="E179" s="156" t="s">
        <v>20025</v>
      </c>
      <c r="F179" s="157" t="s">
        <v>12</v>
      </c>
      <c r="H179" s="284" t="s">
        <v>20026</v>
      </c>
      <c r="I179" s="284" t="s">
        <v>12077</v>
      </c>
      <c r="J179" s="156" t="str">
        <f t="shared" si="4"/>
        <v>CobaltZIMPLATS</v>
      </c>
      <c r="K179" s="156" t="str">
        <f t="shared" si="5"/>
        <v>CobaltZIMPLATS</v>
      </c>
    </row>
    <row r="180" spans="1:11">
      <c r="A180" s="156" t="s">
        <v>18684</v>
      </c>
      <c r="B180" s="156" t="s">
        <v>20028</v>
      </c>
      <c r="C180" s="156" t="s">
        <v>20028</v>
      </c>
      <c r="D180" s="156" t="s">
        <v>1428</v>
      </c>
      <c r="E180" s="156" t="s">
        <v>20029</v>
      </c>
      <c r="F180" s="157" t="s">
        <v>12</v>
      </c>
      <c r="H180" s="284" t="s">
        <v>20030</v>
      </c>
      <c r="I180" s="284" t="s">
        <v>20030</v>
      </c>
      <c r="J180" s="156" t="str">
        <f t="shared" si="4"/>
        <v>CopperAnglo American (Chagres)</v>
      </c>
      <c r="K180" s="156" t="str">
        <f t="shared" si="5"/>
        <v>CopperAnglo American (Chagres)</v>
      </c>
    </row>
    <row r="181" spans="1:11">
      <c r="A181" s="156" t="s">
        <v>18684</v>
      </c>
      <c r="B181" s="156" t="s">
        <v>18691</v>
      </c>
      <c r="C181" s="156" t="s">
        <v>20031</v>
      </c>
      <c r="D181" s="156" t="s">
        <v>1428</v>
      </c>
      <c r="E181" s="156" t="s">
        <v>18692</v>
      </c>
      <c r="F181" s="157" t="s">
        <v>12</v>
      </c>
      <c r="H181" s="284" t="s">
        <v>19300</v>
      </c>
      <c r="I181" s="284" t="s">
        <v>3152</v>
      </c>
      <c r="J181" s="156" t="str">
        <f t="shared" si="4"/>
        <v>CopperAntucoya</v>
      </c>
      <c r="K181" s="156" t="str">
        <f t="shared" si="5"/>
        <v>CopperAntucoya</v>
      </c>
    </row>
    <row r="182" spans="1:11">
      <c r="A182" s="156" t="s">
        <v>18684</v>
      </c>
      <c r="B182" s="156" t="s">
        <v>18693</v>
      </c>
      <c r="C182" s="156" t="s">
        <v>18693</v>
      </c>
      <c r="D182" s="156" t="s">
        <v>1746</v>
      </c>
      <c r="E182" s="156" t="s">
        <v>18694</v>
      </c>
      <c r="F182" s="157" t="s">
        <v>12</v>
      </c>
      <c r="H182" s="284" t="s">
        <v>3997</v>
      </c>
      <c r="I182" s="284" t="s">
        <v>3997</v>
      </c>
      <c r="J182" s="156" t="str">
        <f t="shared" si="4"/>
        <v>CopperAtlantic Copper S.A.</v>
      </c>
      <c r="K182" s="156" t="str">
        <f t="shared" si="5"/>
        <v>CopperAtlantic Copper S.A.</v>
      </c>
    </row>
    <row r="183" spans="1:11">
      <c r="A183" s="156" t="s">
        <v>18684</v>
      </c>
      <c r="B183" s="156" t="s">
        <v>20032</v>
      </c>
      <c r="C183" s="156" t="s">
        <v>20032</v>
      </c>
      <c r="D183" s="156" t="s">
        <v>270</v>
      </c>
      <c r="E183" s="156" t="s">
        <v>18777</v>
      </c>
      <c r="F183" s="157" t="s">
        <v>12</v>
      </c>
      <c r="H183" s="284" t="s">
        <v>19301</v>
      </c>
      <c r="I183" s="284" t="s">
        <v>273</v>
      </c>
      <c r="J183" s="156" t="str">
        <f t="shared" si="4"/>
        <v>CopperAurubis Beerse N.V.</v>
      </c>
      <c r="K183" s="156" t="str">
        <f t="shared" si="5"/>
        <v>CopperAurubis Beerse N.V.</v>
      </c>
    </row>
    <row r="184" spans="1:11">
      <c r="A184" s="156" t="s">
        <v>18684</v>
      </c>
      <c r="B184" s="156" t="s">
        <v>18695</v>
      </c>
      <c r="C184" s="156" t="s">
        <v>18695</v>
      </c>
      <c r="D184" s="156" t="s">
        <v>1409</v>
      </c>
      <c r="E184" s="156" t="s">
        <v>18696</v>
      </c>
      <c r="F184" s="157" t="s">
        <v>12</v>
      </c>
      <c r="H184" s="284" t="s">
        <v>19221</v>
      </c>
      <c r="I184" s="284" t="s">
        <v>2571</v>
      </c>
      <c r="J184" s="156" t="str">
        <f t="shared" si="4"/>
        <v>CopperAurubis Bulgaria</v>
      </c>
      <c r="K184" s="156" t="str">
        <f t="shared" si="5"/>
        <v>CopperAurubis Bulgaria</v>
      </c>
    </row>
    <row r="185" spans="1:11">
      <c r="A185" s="156" t="s">
        <v>18684</v>
      </c>
      <c r="B185" s="156" t="s">
        <v>18697</v>
      </c>
      <c r="C185" s="156" t="s">
        <v>18698</v>
      </c>
      <c r="D185" s="156" t="s">
        <v>1503</v>
      </c>
      <c r="E185" s="156" t="s">
        <v>18699</v>
      </c>
      <c r="F185" s="157" t="s">
        <v>12</v>
      </c>
      <c r="H185" s="284" t="s">
        <v>3620</v>
      </c>
      <c r="I185" s="284" t="s">
        <v>3620</v>
      </c>
      <c r="J185" s="156" t="str">
        <f t="shared" si="4"/>
        <v>CopperAurubis Hamburg</v>
      </c>
      <c r="K185" s="156" t="str">
        <f t="shared" si="5"/>
        <v>CopperAurubis Hamburg</v>
      </c>
    </row>
    <row r="186" spans="1:11">
      <c r="A186" s="156" t="s">
        <v>18684</v>
      </c>
      <c r="B186" s="156" t="s">
        <v>18698</v>
      </c>
      <c r="C186" s="156" t="s">
        <v>18698</v>
      </c>
      <c r="D186" s="156" t="s">
        <v>1503</v>
      </c>
      <c r="E186" s="156" t="s">
        <v>18699</v>
      </c>
      <c r="F186" s="157" t="s">
        <v>12</v>
      </c>
      <c r="H186" s="284" t="s">
        <v>3620</v>
      </c>
      <c r="I186" s="284" t="s">
        <v>3620</v>
      </c>
      <c r="J186" s="156" t="str">
        <f t="shared" si="4"/>
        <v>CopperAurubis Hamburg AG</v>
      </c>
      <c r="K186" s="156" t="str">
        <f t="shared" si="5"/>
        <v>CopperAurubis Hamburg AG</v>
      </c>
    </row>
    <row r="187" spans="1:11">
      <c r="A187" s="156" t="s">
        <v>18684</v>
      </c>
      <c r="B187" s="156" t="s">
        <v>18700</v>
      </c>
      <c r="C187" s="156" t="s">
        <v>20033</v>
      </c>
      <c r="D187" s="156" t="s">
        <v>270</v>
      </c>
      <c r="E187" s="156" t="s">
        <v>18701</v>
      </c>
      <c r="F187" s="157" t="s">
        <v>12</v>
      </c>
      <c r="H187" s="284" t="s">
        <v>272</v>
      </c>
      <c r="I187" s="284" t="s">
        <v>273</v>
      </c>
      <c r="J187" s="156" t="str">
        <f t="shared" si="4"/>
        <v>CopperAurubis Olen nv</v>
      </c>
      <c r="K187" s="156" t="str">
        <f t="shared" si="5"/>
        <v>CopperAurubis Olen nv</v>
      </c>
    </row>
    <row r="188" spans="1:11">
      <c r="A188" s="156" t="s">
        <v>18684</v>
      </c>
      <c r="B188" s="156" t="s">
        <v>18702</v>
      </c>
      <c r="C188" s="156" t="s">
        <v>18695</v>
      </c>
      <c r="D188" s="156" t="s">
        <v>1409</v>
      </c>
      <c r="E188" s="156" t="s">
        <v>18696</v>
      </c>
      <c r="F188" s="157" t="s">
        <v>12</v>
      </c>
      <c r="H188" s="284" t="s">
        <v>19221</v>
      </c>
      <c r="I188" s="284" t="s">
        <v>2571</v>
      </c>
      <c r="J188" s="156" t="str">
        <f t="shared" si="4"/>
        <v>CopperAurubis Pirdop</v>
      </c>
      <c r="K188" s="156" t="str">
        <f t="shared" si="5"/>
        <v>CopperAurubis Pirdop</v>
      </c>
    </row>
    <row r="189" spans="1:11">
      <c r="A189" s="156" t="s">
        <v>18684</v>
      </c>
      <c r="B189" s="156" t="s">
        <v>18703</v>
      </c>
      <c r="C189" s="156" t="s">
        <v>18703</v>
      </c>
      <c r="D189" s="156" t="s">
        <v>300</v>
      </c>
      <c r="E189" s="156" t="s">
        <v>18704</v>
      </c>
      <c r="F189" s="157" t="s">
        <v>12</v>
      </c>
      <c r="H189" s="284" t="s">
        <v>18703</v>
      </c>
      <c r="I189" s="284" t="s">
        <v>11585</v>
      </c>
      <c r="J189" s="156" t="str">
        <f t="shared" si="4"/>
        <v>CopperBagdad</v>
      </c>
      <c r="K189" s="156" t="str">
        <f t="shared" si="5"/>
        <v>CopperBagdad</v>
      </c>
    </row>
    <row r="190" spans="1:11">
      <c r="A190" s="156" t="s">
        <v>18684</v>
      </c>
      <c r="B190" s="156" t="s">
        <v>18705</v>
      </c>
      <c r="C190" s="156" t="s">
        <v>18706</v>
      </c>
      <c r="D190" s="156" t="s">
        <v>305</v>
      </c>
      <c r="E190" s="156" t="s">
        <v>18707</v>
      </c>
      <c r="F190" s="157" t="s">
        <v>12</v>
      </c>
      <c r="H190" s="284" t="s">
        <v>19222</v>
      </c>
      <c r="I190" s="284" t="s">
        <v>12258</v>
      </c>
      <c r="J190" s="156" t="str">
        <f t="shared" si="4"/>
        <v>CopperBirla Group (Hidalco)</v>
      </c>
      <c r="K190" s="156" t="str">
        <f t="shared" si="5"/>
        <v>CopperBirla Group (Hidalco)</v>
      </c>
    </row>
    <row r="191" spans="1:11">
      <c r="A191" s="156" t="s">
        <v>18684</v>
      </c>
      <c r="B191" s="156" t="s">
        <v>18708</v>
      </c>
      <c r="C191" s="156" t="s">
        <v>18708</v>
      </c>
      <c r="D191" s="156" t="s">
        <v>101</v>
      </c>
      <c r="E191" s="156" t="s">
        <v>18709</v>
      </c>
      <c r="F191" s="157" t="s">
        <v>12</v>
      </c>
      <c r="H191" s="284" t="s">
        <v>19260</v>
      </c>
      <c r="I191" s="284" t="s">
        <v>241</v>
      </c>
      <c r="J191" s="156" t="str">
        <f t="shared" si="4"/>
        <v>CopperBoliden Harjavalta Oy</v>
      </c>
      <c r="K191" s="156" t="str">
        <f t="shared" si="5"/>
        <v>CopperBoliden Harjavalta Oy</v>
      </c>
    </row>
    <row r="192" spans="1:11">
      <c r="A192" s="156" t="s">
        <v>18684</v>
      </c>
      <c r="B192" s="156" t="s">
        <v>20034</v>
      </c>
      <c r="C192" s="156" t="s">
        <v>20034</v>
      </c>
      <c r="D192" s="156" t="s">
        <v>101</v>
      </c>
      <c r="E192" s="156" t="s">
        <v>18756</v>
      </c>
      <c r="F192" s="157" t="s">
        <v>12</v>
      </c>
      <c r="H192" s="284" t="s">
        <v>103</v>
      </c>
      <c r="I192" s="284" t="s">
        <v>4175</v>
      </c>
      <c r="J192" s="156" t="str">
        <f t="shared" si="4"/>
        <v>CopperBoliden Kokkola Oy</v>
      </c>
      <c r="K192" s="156" t="str">
        <f t="shared" si="5"/>
        <v>CopperBoliden Kokkola Oy</v>
      </c>
    </row>
    <row r="193" spans="1:11">
      <c r="A193" s="156" t="s">
        <v>18684</v>
      </c>
      <c r="B193" s="156" t="s">
        <v>18710</v>
      </c>
      <c r="C193" s="156" t="s">
        <v>18710</v>
      </c>
      <c r="D193" s="156" t="s">
        <v>1756</v>
      </c>
      <c r="E193" s="156" t="s">
        <v>18711</v>
      </c>
      <c r="F193" s="157" t="s">
        <v>12</v>
      </c>
      <c r="H193" s="284" t="s">
        <v>19302</v>
      </c>
      <c r="I193" s="284" t="s">
        <v>9926</v>
      </c>
      <c r="J193" s="156" t="str">
        <f t="shared" si="4"/>
        <v>CopperBoliden Ronnskar</v>
      </c>
      <c r="K193" s="156" t="str">
        <f t="shared" si="5"/>
        <v>CopperBoliden Ronnskar</v>
      </c>
    </row>
    <row r="194" spans="1:11">
      <c r="A194" s="156" t="s">
        <v>18684</v>
      </c>
      <c r="B194" s="156" t="s">
        <v>18712</v>
      </c>
      <c r="C194" s="156" t="s">
        <v>18712</v>
      </c>
      <c r="D194" s="156" t="s">
        <v>1428</v>
      </c>
      <c r="E194" s="156" t="s">
        <v>18713</v>
      </c>
      <c r="F194" s="157" t="s">
        <v>12</v>
      </c>
      <c r="H194" s="284" t="s">
        <v>19303</v>
      </c>
      <c r="I194" s="284" t="s">
        <v>3158</v>
      </c>
      <c r="J194" s="156" t="str">
        <f t="shared" si="4"/>
        <v>CopperCaserones</v>
      </c>
      <c r="K194" s="156" t="str">
        <f t="shared" si="5"/>
        <v>CopperCaserones</v>
      </c>
    </row>
    <row r="195" spans="1:11">
      <c r="A195" s="156" t="s">
        <v>18684</v>
      </c>
      <c r="B195" s="156" t="s">
        <v>18714</v>
      </c>
      <c r="C195" s="156" t="s">
        <v>20035</v>
      </c>
      <c r="D195" s="156" t="s">
        <v>95</v>
      </c>
      <c r="E195" s="156" t="s">
        <v>18715</v>
      </c>
      <c r="F195" s="157" t="s">
        <v>12</v>
      </c>
      <c r="H195" s="284" t="s">
        <v>19304</v>
      </c>
      <c r="I195" s="284" t="s">
        <v>318</v>
      </c>
      <c r="J195" s="156" t="str">
        <f t="shared" si="4"/>
        <v>CopperCCR Refinery - Glencore Canada Corporation</v>
      </c>
      <c r="K195" s="156" t="str">
        <f t="shared" si="5"/>
        <v>CopperCCR Refinery - Glencore Canada Corporation</v>
      </c>
    </row>
    <row r="196" spans="1:11">
      <c r="A196" s="156" t="s">
        <v>18684</v>
      </c>
      <c r="B196" s="156" t="s">
        <v>18716</v>
      </c>
      <c r="C196" s="156" t="s">
        <v>18717</v>
      </c>
      <c r="D196" s="156" t="s">
        <v>1677</v>
      </c>
      <c r="E196" s="156" t="s">
        <v>18718</v>
      </c>
      <c r="F196" s="157" t="s">
        <v>12</v>
      </c>
      <c r="H196" s="284" t="s">
        <v>8762</v>
      </c>
      <c r="I196" s="284" t="s">
        <v>8762</v>
      </c>
      <c r="J196" s="156" t="str">
        <f t="shared" si="4"/>
        <v>CopperCerro Verde I Leach Pad</v>
      </c>
      <c r="K196" s="156" t="str">
        <f t="shared" si="5"/>
        <v>CopperCerro Verde I Leach Pad</v>
      </c>
    </row>
    <row r="197" spans="1:11">
      <c r="A197" s="156" t="s">
        <v>18684</v>
      </c>
      <c r="B197" s="156" t="s">
        <v>20036</v>
      </c>
      <c r="C197" s="156" t="s">
        <v>20028</v>
      </c>
      <c r="D197" s="156" t="s">
        <v>1428</v>
      </c>
      <c r="E197" s="156" t="s">
        <v>20029</v>
      </c>
      <c r="F197" s="157" t="s">
        <v>12</v>
      </c>
      <c r="H197" s="284" t="s">
        <v>20030</v>
      </c>
      <c r="I197" s="284" t="s">
        <v>20030</v>
      </c>
      <c r="J197" s="156" t="str">
        <f t="shared" si="4"/>
        <v>CopperChagres</v>
      </c>
      <c r="K197" s="156" t="str">
        <f t="shared" si="5"/>
        <v>CopperChagres</v>
      </c>
    </row>
    <row r="198" spans="1:11">
      <c r="A198" s="156" t="s">
        <v>18684</v>
      </c>
      <c r="B198" s="156" t="s">
        <v>20037</v>
      </c>
      <c r="C198" s="156" t="s">
        <v>20037</v>
      </c>
      <c r="D198" s="156" t="s">
        <v>1818</v>
      </c>
      <c r="E198" s="156" t="s">
        <v>20038</v>
      </c>
      <c r="F198" s="157" t="s">
        <v>12</v>
      </c>
      <c r="H198" s="284" t="s">
        <v>12053</v>
      </c>
      <c r="I198" s="284" t="s">
        <v>20039</v>
      </c>
      <c r="J198" s="156" t="str">
        <f t="shared" ref="J198:J261" si="6">A198&amp;B198</f>
        <v>CopperChambishi Copper Smelter Limited</v>
      </c>
      <c r="K198" s="156" t="str">
        <f t="shared" ref="K198:K261" si="7">A198&amp;B198</f>
        <v>CopperChambishi Copper Smelter Limited</v>
      </c>
    </row>
    <row r="199" spans="1:11">
      <c r="A199" s="156" t="s">
        <v>18684</v>
      </c>
      <c r="B199" s="156" t="s">
        <v>20040</v>
      </c>
      <c r="C199" s="156" t="s">
        <v>20040</v>
      </c>
      <c r="D199" s="156" t="s">
        <v>300</v>
      </c>
      <c r="E199" s="156" t="s">
        <v>18720</v>
      </c>
      <c r="F199" s="157" t="s">
        <v>12</v>
      </c>
      <c r="H199" s="284" t="s">
        <v>19305</v>
      </c>
      <c r="I199" s="284" t="s">
        <v>11634</v>
      </c>
      <c r="J199" s="156" t="str">
        <f t="shared" si="6"/>
        <v>CopperChino</v>
      </c>
      <c r="K199" s="156" t="str">
        <f t="shared" si="7"/>
        <v>CopperChino</v>
      </c>
    </row>
    <row r="200" spans="1:11">
      <c r="A200" s="156" t="s">
        <v>18684</v>
      </c>
      <c r="B200" s="156" t="s">
        <v>18719</v>
      </c>
      <c r="C200" s="156" t="s">
        <v>20040</v>
      </c>
      <c r="D200" s="156" t="s">
        <v>300</v>
      </c>
      <c r="E200" s="156" t="s">
        <v>18720</v>
      </c>
      <c r="F200" s="157" t="s">
        <v>12</v>
      </c>
      <c r="H200" s="284" t="s">
        <v>19305</v>
      </c>
      <c r="I200" s="284" t="s">
        <v>11634</v>
      </c>
      <c r="J200" s="156" t="str">
        <f t="shared" si="6"/>
        <v>CopperChino (Santa Rita)</v>
      </c>
      <c r="K200" s="156" t="str">
        <f t="shared" si="7"/>
        <v>CopperChino (Santa Rita)</v>
      </c>
    </row>
    <row r="201" spans="1:11">
      <c r="A201" s="156" t="s">
        <v>18684</v>
      </c>
      <c r="B201" s="156" t="s">
        <v>18721</v>
      </c>
      <c r="C201" s="156" t="s">
        <v>18721</v>
      </c>
      <c r="D201" s="156" t="s">
        <v>1428</v>
      </c>
      <c r="E201" s="156" t="s">
        <v>18722</v>
      </c>
      <c r="F201" s="157" t="s">
        <v>12</v>
      </c>
      <c r="H201" s="284" t="s">
        <v>19223</v>
      </c>
      <c r="I201" s="284" t="s">
        <v>3152</v>
      </c>
      <c r="J201" s="156" t="str">
        <f t="shared" si="6"/>
        <v>CopperChuquicamata Refinery</v>
      </c>
      <c r="K201" s="156" t="str">
        <f t="shared" si="7"/>
        <v>CopperChuquicamata Refinery</v>
      </c>
    </row>
    <row r="202" spans="1:11">
      <c r="A202" s="156" t="s">
        <v>18684</v>
      </c>
      <c r="B202" s="156" t="s">
        <v>19187</v>
      </c>
      <c r="C202" s="156" t="s">
        <v>19187</v>
      </c>
      <c r="D202" s="156" t="s">
        <v>60</v>
      </c>
      <c r="E202" s="156" t="s">
        <v>18723</v>
      </c>
      <c r="F202" s="157" t="s">
        <v>12</v>
      </c>
      <c r="H202" s="284" t="s">
        <v>19273</v>
      </c>
      <c r="I202" s="284" t="s">
        <v>180</v>
      </c>
      <c r="J202" s="156" t="str">
        <f t="shared" si="6"/>
        <v>CopperCMOC Kisanfu Mining SARL</v>
      </c>
      <c r="K202" s="156" t="str">
        <f t="shared" si="7"/>
        <v>CopperCMOC Kisanfu Mining SARL</v>
      </c>
    </row>
    <row r="203" spans="1:11">
      <c r="A203" s="156" t="s">
        <v>18684</v>
      </c>
      <c r="B203" s="156" t="s">
        <v>18724</v>
      </c>
      <c r="C203" s="156" t="s">
        <v>18724</v>
      </c>
      <c r="D203" s="156" t="s">
        <v>60</v>
      </c>
      <c r="E203" s="156" t="s">
        <v>18725</v>
      </c>
      <c r="F203" s="157" t="s">
        <v>12</v>
      </c>
      <c r="H203" s="284" t="s">
        <v>179</v>
      </c>
      <c r="I203" s="284" t="s">
        <v>180</v>
      </c>
      <c r="J203" s="156" t="str">
        <f t="shared" si="6"/>
        <v>CopperCompagnie Miniere de Musonoie Global SAS</v>
      </c>
      <c r="K203" s="156" t="str">
        <f t="shared" si="7"/>
        <v>CopperCompagnie Miniere de Musonoie Global SAS</v>
      </c>
    </row>
    <row r="204" spans="1:11">
      <c r="A204" s="156" t="s">
        <v>18684</v>
      </c>
      <c r="B204" s="156" t="s">
        <v>19191</v>
      </c>
      <c r="C204" s="156" t="s">
        <v>18724</v>
      </c>
      <c r="D204" s="156" t="s">
        <v>60</v>
      </c>
      <c r="E204" s="156" t="s">
        <v>18725</v>
      </c>
      <c r="F204" s="157" t="s">
        <v>12</v>
      </c>
      <c r="H204" s="284" t="s">
        <v>179</v>
      </c>
      <c r="I204" s="284" t="s">
        <v>180</v>
      </c>
      <c r="J204" s="156" t="str">
        <f t="shared" si="6"/>
        <v>CopperCompagnie Minière de Musonoïe Global SAS</v>
      </c>
      <c r="K204" s="156" t="str">
        <f t="shared" si="7"/>
        <v>CopperCompagnie Minière de Musonoïe Global SAS</v>
      </c>
    </row>
    <row r="205" spans="1:11">
      <c r="A205" s="156" t="s">
        <v>18684</v>
      </c>
      <c r="B205" s="156" t="s">
        <v>18726</v>
      </c>
      <c r="C205" s="156" t="s">
        <v>18727</v>
      </c>
      <c r="D205" s="156" t="s">
        <v>173</v>
      </c>
      <c r="E205" s="156" t="s">
        <v>18728</v>
      </c>
      <c r="F205" s="157" t="s">
        <v>12</v>
      </c>
      <c r="H205" s="284" t="s">
        <v>12092</v>
      </c>
      <c r="I205" s="284" t="s">
        <v>9671</v>
      </c>
      <c r="J205" s="156" t="str">
        <f t="shared" si="6"/>
        <v>CopperCopper plant of the Polar Division of PJSC MMC Norilsk Nickel</v>
      </c>
      <c r="K205" s="156" t="str">
        <f t="shared" si="7"/>
        <v>CopperCopper plant of the Polar Division of PJSC MMC Norilsk Nickel</v>
      </c>
    </row>
    <row r="206" spans="1:11">
      <c r="A206" s="156" t="s">
        <v>18684</v>
      </c>
      <c r="B206" s="156" t="s">
        <v>18727</v>
      </c>
      <c r="C206" s="156" t="s">
        <v>18727</v>
      </c>
      <c r="D206" s="156" t="s">
        <v>173</v>
      </c>
      <c r="E206" s="156" t="s">
        <v>18728</v>
      </c>
      <c r="F206" s="157" t="s">
        <v>12</v>
      </c>
      <c r="H206" s="284" t="s">
        <v>12092</v>
      </c>
      <c r="I206" s="284" t="s">
        <v>9671</v>
      </c>
      <c r="J206" s="156" t="str">
        <f t="shared" si="6"/>
        <v>CopperCopper Plant Polar Division of MMC Norilsk Nickel</v>
      </c>
      <c r="K206" s="156" t="str">
        <f t="shared" si="7"/>
        <v>CopperCopper Plant Polar Division of MMC Norilsk Nickel</v>
      </c>
    </row>
    <row r="207" spans="1:11">
      <c r="A207" s="156" t="s">
        <v>18684</v>
      </c>
      <c r="B207" s="156" t="s">
        <v>20041</v>
      </c>
      <c r="C207" s="156" t="s">
        <v>20041</v>
      </c>
      <c r="D207" s="156" t="s">
        <v>1428</v>
      </c>
      <c r="E207" s="156" t="s">
        <v>18738</v>
      </c>
      <c r="F207" s="157" t="s">
        <v>12</v>
      </c>
      <c r="H207" s="284" t="s">
        <v>19306</v>
      </c>
      <c r="I207" s="284" t="s">
        <v>3152</v>
      </c>
      <c r="J207" s="156" t="str">
        <f t="shared" si="6"/>
        <v>CopperDivision Gabriela Mistral</v>
      </c>
      <c r="K207" s="156" t="str">
        <f t="shared" si="7"/>
        <v>CopperDivision Gabriela Mistral</v>
      </c>
    </row>
    <row r="208" spans="1:11">
      <c r="A208" s="156" t="s">
        <v>18684</v>
      </c>
      <c r="B208" s="156" t="s">
        <v>20042</v>
      </c>
      <c r="C208" s="156" t="s">
        <v>20041</v>
      </c>
      <c r="D208" s="156" t="s">
        <v>1428</v>
      </c>
      <c r="E208" s="156" t="s">
        <v>18738</v>
      </c>
      <c r="F208" s="157" t="s">
        <v>12</v>
      </c>
      <c r="H208" s="284" t="s">
        <v>19306</v>
      </c>
      <c r="I208" s="284" t="s">
        <v>3152</v>
      </c>
      <c r="J208" s="156" t="str">
        <f t="shared" si="6"/>
        <v>CopperDivisión Gabriela Mistral</v>
      </c>
      <c r="K208" s="156" t="str">
        <f t="shared" si="7"/>
        <v>CopperDivisión Gabriela Mistral</v>
      </c>
    </row>
    <row r="209" spans="1:11">
      <c r="A209" s="156" t="s">
        <v>18684</v>
      </c>
      <c r="B209" s="156" t="s">
        <v>20043</v>
      </c>
      <c r="C209" s="156" t="s">
        <v>20043</v>
      </c>
      <c r="D209" s="156" t="s">
        <v>1428</v>
      </c>
      <c r="E209" s="156" t="s">
        <v>18799</v>
      </c>
      <c r="F209" s="157" t="s">
        <v>12</v>
      </c>
      <c r="H209" s="284" t="s">
        <v>19223</v>
      </c>
      <c r="I209" s="284" t="s">
        <v>3152</v>
      </c>
      <c r="J209" s="156" t="str">
        <f t="shared" si="6"/>
        <v>CopperDivision Radomiro Tomic</v>
      </c>
      <c r="K209" s="156" t="str">
        <f t="shared" si="7"/>
        <v>CopperDivision Radomiro Tomic</v>
      </c>
    </row>
    <row r="210" spans="1:11">
      <c r="A210" s="156" t="s">
        <v>18684</v>
      </c>
      <c r="B210" s="156" t="s">
        <v>20044</v>
      </c>
      <c r="C210" s="156" t="s">
        <v>20043</v>
      </c>
      <c r="D210" s="156" t="s">
        <v>1428</v>
      </c>
      <c r="E210" s="156" t="s">
        <v>18799</v>
      </c>
      <c r="F210" s="157" t="s">
        <v>12</v>
      </c>
      <c r="H210" s="284" t="s">
        <v>19223</v>
      </c>
      <c r="I210" s="284" t="s">
        <v>3152</v>
      </c>
      <c r="J210" s="156" t="str">
        <f t="shared" si="6"/>
        <v>CopperDivisión Radomiro Tomic</v>
      </c>
      <c r="K210" s="156" t="str">
        <f t="shared" si="7"/>
        <v>CopperDivisión Radomiro Tomic</v>
      </c>
    </row>
    <row r="211" spans="1:11">
      <c r="A211" s="156" t="s">
        <v>18684</v>
      </c>
      <c r="B211" s="156" t="s">
        <v>20045</v>
      </c>
      <c r="C211" s="156" t="s">
        <v>20045</v>
      </c>
      <c r="D211" s="156" t="s">
        <v>1428</v>
      </c>
      <c r="E211" s="156" t="s">
        <v>18809</v>
      </c>
      <c r="F211" s="157" t="s">
        <v>12</v>
      </c>
      <c r="H211" s="284" t="s">
        <v>19321</v>
      </c>
      <c r="I211" s="284" t="s">
        <v>3158</v>
      </c>
      <c r="J211" s="156" t="str">
        <f t="shared" si="6"/>
        <v>CopperDivision Salvador</v>
      </c>
      <c r="K211" s="156" t="str">
        <f t="shared" si="7"/>
        <v>CopperDivision Salvador</v>
      </c>
    </row>
    <row r="212" spans="1:11">
      <c r="A212" s="156" t="s">
        <v>18684</v>
      </c>
      <c r="B212" s="156" t="s">
        <v>20046</v>
      </c>
      <c r="C212" s="156" t="s">
        <v>20045</v>
      </c>
      <c r="D212" s="156" t="s">
        <v>1428</v>
      </c>
      <c r="E212" s="156" t="s">
        <v>18809</v>
      </c>
      <c r="F212" s="157" t="s">
        <v>12</v>
      </c>
      <c r="H212" s="284" t="s">
        <v>19321</v>
      </c>
      <c r="I212" s="284" t="s">
        <v>3158</v>
      </c>
      <c r="J212" s="156" t="str">
        <f t="shared" si="6"/>
        <v>CopperDivisión Salvador</v>
      </c>
      <c r="K212" s="156" t="str">
        <f t="shared" si="7"/>
        <v>CopperDivisión Salvador</v>
      </c>
    </row>
    <row r="213" spans="1:11">
      <c r="A213" s="156" t="s">
        <v>18684</v>
      </c>
      <c r="B213" s="156" t="s">
        <v>18729</v>
      </c>
      <c r="C213" s="156" t="s">
        <v>18729</v>
      </c>
      <c r="D213" s="156" t="s">
        <v>300</v>
      </c>
      <c r="E213" s="156" t="s">
        <v>18730</v>
      </c>
      <c r="F213" s="157" t="s">
        <v>12</v>
      </c>
      <c r="H213" s="284" t="s">
        <v>19224</v>
      </c>
      <c r="I213" s="284" t="s">
        <v>11656</v>
      </c>
      <c r="J213" s="156" t="str">
        <f t="shared" si="6"/>
        <v>CopperEl Paso (refinery)</v>
      </c>
      <c r="K213" s="156" t="str">
        <f t="shared" si="7"/>
        <v>CopperEl Paso (refinery)</v>
      </c>
    </row>
    <row r="214" spans="1:11">
      <c r="A214" s="156" t="s">
        <v>18684</v>
      </c>
      <c r="B214" s="156" t="s">
        <v>18731</v>
      </c>
      <c r="C214" s="156" t="s">
        <v>18731</v>
      </c>
      <c r="D214" s="156" t="s">
        <v>1428</v>
      </c>
      <c r="E214" s="156" t="s">
        <v>18732</v>
      </c>
      <c r="F214" s="157" t="s">
        <v>12</v>
      </c>
      <c r="H214" s="284" t="s">
        <v>3180</v>
      </c>
      <c r="I214" s="284" t="s">
        <v>3180</v>
      </c>
      <c r="J214" s="156" t="str">
        <f t="shared" si="6"/>
        <v>CopperEl Soldado</v>
      </c>
      <c r="K214" s="156" t="str">
        <f t="shared" si="7"/>
        <v>CopperEl Soldado</v>
      </c>
    </row>
    <row r="215" spans="1:11">
      <c r="A215" s="156" t="s">
        <v>18684</v>
      </c>
      <c r="B215" s="156" t="s">
        <v>18733</v>
      </c>
      <c r="C215" s="156" t="s">
        <v>18733</v>
      </c>
      <c r="D215" s="156" t="s">
        <v>1428</v>
      </c>
      <c r="E215" s="156" t="s">
        <v>18734</v>
      </c>
      <c r="F215" s="157" t="s">
        <v>12</v>
      </c>
      <c r="H215" s="284" t="s">
        <v>19225</v>
      </c>
      <c r="I215" s="284" t="s">
        <v>3164</v>
      </c>
      <c r="J215" s="156" t="str">
        <f t="shared" si="6"/>
        <v>CopperEl Teniente</v>
      </c>
      <c r="K215" s="156" t="str">
        <f t="shared" si="7"/>
        <v>CopperEl Teniente</v>
      </c>
    </row>
    <row r="216" spans="1:11">
      <c r="A216" s="156" t="s">
        <v>18684</v>
      </c>
      <c r="B216" s="156" t="s">
        <v>12229</v>
      </c>
      <c r="C216" s="156" t="s">
        <v>12229</v>
      </c>
      <c r="D216" s="156" t="s">
        <v>1780</v>
      </c>
      <c r="E216" s="156" t="s">
        <v>18735</v>
      </c>
      <c r="F216" s="157" t="s">
        <v>12</v>
      </c>
      <c r="H216" s="284" t="s">
        <v>11020</v>
      </c>
      <c r="I216" s="284" t="s">
        <v>11020</v>
      </c>
      <c r="J216" s="156" t="str">
        <f t="shared" si="6"/>
        <v>CopperEti Bakir A.S</v>
      </c>
      <c r="K216" s="156" t="str">
        <f t="shared" si="7"/>
        <v>CopperEti Bakir A.S</v>
      </c>
    </row>
    <row r="217" spans="1:11">
      <c r="A217" s="156" t="s">
        <v>18684</v>
      </c>
      <c r="B217" s="156" t="s">
        <v>20011</v>
      </c>
      <c r="C217" s="156" t="s">
        <v>12229</v>
      </c>
      <c r="D217" s="156" t="s">
        <v>1780</v>
      </c>
      <c r="E217" s="156" t="s">
        <v>18735</v>
      </c>
      <c r="F217" s="157" t="s">
        <v>12</v>
      </c>
      <c r="H217" s="284" t="s">
        <v>11020</v>
      </c>
      <c r="I217" s="284" t="s">
        <v>11020</v>
      </c>
      <c r="J217" s="156" t="str">
        <f t="shared" si="6"/>
        <v>CopperEti Bakır A.S</v>
      </c>
      <c r="K217" s="156" t="str">
        <f t="shared" si="7"/>
        <v>CopperEti Bakır A.S</v>
      </c>
    </row>
    <row r="218" spans="1:11">
      <c r="A218" s="156" t="s">
        <v>18684</v>
      </c>
      <c r="B218" s="156" t="s">
        <v>20012</v>
      </c>
      <c r="C218" s="156" t="s">
        <v>12229</v>
      </c>
      <c r="D218" s="156" t="s">
        <v>1780</v>
      </c>
      <c r="E218" s="156" t="s">
        <v>18735</v>
      </c>
      <c r="F218" s="157" t="s">
        <v>12</v>
      </c>
      <c r="H218" s="284" t="s">
        <v>11020</v>
      </c>
      <c r="I218" s="284" t="s">
        <v>11020</v>
      </c>
      <c r="J218" s="156" t="str">
        <f t="shared" si="6"/>
        <v>CopperEti Bakır A.Ş</v>
      </c>
      <c r="K218" s="156" t="str">
        <f t="shared" si="7"/>
        <v>CopperEti Bakır A.Ş</v>
      </c>
    </row>
    <row r="219" spans="1:11">
      <c r="A219" s="156" t="s">
        <v>18684</v>
      </c>
      <c r="B219" s="156" t="s">
        <v>12277</v>
      </c>
      <c r="C219" s="156" t="s">
        <v>12277</v>
      </c>
      <c r="D219" s="156" t="s">
        <v>60</v>
      </c>
      <c r="E219" s="156" t="s">
        <v>18736</v>
      </c>
      <c r="F219" s="157" t="s">
        <v>12</v>
      </c>
      <c r="H219" s="284" t="s">
        <v>12279</v>
      </c>
      <c r="I219" s="284" t="s">
        <v>63</v>
      </c>
      <c r="J219" s="156" t="str">
        <f t="shared" si="6"/>
        <v>CopperExcellen Minerals SARL</v>
      </c>
      <c r="K219" s="156" t="str">
        <f t="shared" si="7"/>
        <v>CopperExcellen Minerals SARL</v>
      </c>
    </row>
    <row r="220" spans="1:11">
      <c r="A220" s="156" t="s">
        <v>18684</v>
      </c>
      <c r="B220" s="156" t="s">
        <v>90</v>
      </c>
      <c r="C220" s="156" t="s">
        <v>90</v>
      </c>
      <c r="D220" s="156" t="s">
        <v>65</v>
      </c>
      <c r="E220" s="156" t="s">
        <v>20047</v>
      </c>
      <c r="F220" s="157" t="s">
        <v>12</v>
      </c>
      <c r="H220" s="284" t="s">
        <v>92</v>
      </c>
      <c r="I220" s="284" t="s">
        <v>93</v>
      </c>
      <c r="J220" s="156" t="str">
        <f t="shared" si="6"/>
        <v>CopperFairsky Industrial Co., Limited</v>
      </c>
      <c r="K220" s="156" t="str">
        <f t="shared" si="7"/>
        <v>CopperFairsky Industrial Co., Limited</v>
      </c>
    </row>
    <row r="221" spans="1:11">
      <c r="A221" s="156" t="s">
        <v>18684</v>
      </c>
      <c r="B221" s="156" t="s">
        <v>18737</v>
      </c>
      <c r="C221" s="156" t="s">
        <v>20041</v>
      </c>
      <c r="D221" s="156" t="s">
        <v>1428</v>
      </c>
      <c r="E221" s="156" t="s">
        <v>18738</v>
      </c>
      <c r="F221" s="157" t="s">
        <v>12</v>
      </c>
      <c r="H221" s="284" t="s">
        <v>19306</v>
      </c>
      <c r="I221" s="284" t="s">
        <v>3152</v>
      </c>
      <c r="J221" s="156" t="str">
        <f t="shared" si="6"/>
        <v>CopperGabriela Mistral (Gaby)</v>
      </c>
      <c r="K221" s="156" t="str">
        <f t="shared" si="7"/>
        <v>CopperGabriela Mistral (Gaby)</v>
      </c>
    </row>
    <row r="222" spans="1:11">
      <c r="A222" s="156" t="s">
        <v>18684</v>
      </c>
      <c r="B222" s="156" t="s">
        <v>20035</v>
      </c>
      <c r="C222" s="156" t="s">
        <v>20035</v>
      </c>
      <c r="D222" s="156" t="s">
        <v>95</v>
      </c>
      <c r="E222" s="156" t="s">
        <v>18715</v>
      </c>
      <c r="F222" s="157" t="s">
        <v>12</v>
      </c>
      <c r="H222" s="284" t="s">
        <v>19304</v>
      </c>
      <c r="I222" s="284" t="s">
        <v>318</v>
      </c>
      <c r="J222" s="156" t="str">
        <f t="shared" si="6"/>
        <v>CopperGlencore Canada Corporation - CCR Refinery</v>
      </c>
      <c r="K222" s="156" t="str">
        <f t="shared" si="7"/>
        <v>CopperGlencore Canada Corporation - CCR Refinery</v>
      </c>
    </row>
    <row r="223" spans="1:11">
      <c r="A223" s="156" t="s">
        <v>18684</v>
      </c>
      <c r="B223" s="156" t="s">
        <v>20048</v>
      </c>
      <c r="C223" s="156" t="s">
        <v>20048</v>
      </c>
      <c r="D223" s="156" t="s">
        <v>116</v>
      </c>
      <c r="E223" s="156" t="s">
        <v>18739</v>
      </c>
      <c r="F223" s="157" t="s">
        <v>12</v>
      </c>
      <c r="H223" s="284" t="s">
        <v>118</v>
      </c>
      <c r="I223" s="284" t="s">
        <v>16388</v>
      </c>
      <c r="J223" s="156" t="str">
        <f t="shared" si="6"/>
        <v>CopperGlencore Nikkelverk AS</v>
      </c>
      <c r="K223" s="156" t="str">
        <f t="shared" si="7"/>
        <v>CopperGlencore Nikkelverk AS</v>
      </c>
    </row>
    <row r="224" spans="1:11">
      <c r="A224" s="156" t="s">
        <v>18684</v>
      </c>
      <c r="B224" s="156" t="s">
        <v>115</v>
      </c>
      <c r="C224" s="156" t="s">
        <v>20048</v>
      </c>
      <c r="D224" s="156" t="s">
        <v>116</v>
      </c>
      <c r="E224" s="156" t="s">
        <v>18739</v>
      </c>
      <c r="F224" s="157" t="s">
        <v>12</v>
      </c>
      <c r="H224" s="284" t="s">
        <v>118</v>
      </c>
      <c r="I224" s="284" t="s">
        <v>16388</v>
      </c>
      <c r="J224" s="156" t="str">
        <f t="shared" si="6"/>
        <v>CopperGlencore Nikkelverk Refinery</v>
      </c>
      <c r="K224" s="156" t="str">
        <f t="shared" si="7"/>
        <v>CopperGlencore Nikkelverk Refinery</v>
      </c>
    </row>
    <row r="225" spans="1:11">
      <c r="A225" s="156" t="s">
        <v>18684</v>
      </c>
      <c r="B225" s="156" t="s">
        <v>20049</v>
      </c>
      <c r="C225" s="156" t="s">
        <v>20050</v>
      </c>
      <c r="D225" s="156" t="s">
        <v>1683</v>
      </c>
      <c r="E225" s="156" t="s">
        <v>20051</v>
      </c>
      <c r="F225" s="157" t="s">
        <v>12</v>
      </c>
      <c r="H225" s="284" t="s">
        <v>20052</v>
      </c>
      <c r="I225" s="284" t="s">
        <v>9160</v>
      </c>
      <c r="J225" s="156" t="str">
        <f t="shared" si="6"/>
        <v>CopperGlogow I (refinery)</v>
      </c>
      <c r="K225" s="156" t="str">
        <f t="shared" si="7"/>
        <v>CopperGlogow I (refinery)</v>
      </c>
    </row>
    <row r="226" spans="1:11">
      <c r="A226" s="156" t="s">
        <v>18684</v>
      </c>
      <c r="B226" s="156" t="s">
        <v>20053</v>
      </c>
      <c r="C226" s="156" t="s">
        <v>20050</v>
      </c>
      <c r="D226" s="156" t="s">
        <v>1683</v>
      </c>
      <c r="E226" s="156" t="s">
        <v>20051</v>
      </c>
      <c r="F226" s="157" t="s">
        <v>12</v>
      </c>
      <c r="H226" s="284" t="s">
        <v>20052</v>
      </c>
      <c r="I226" s="284" t="s">
        <v>9160</v>
      </c>
      <c r="J226" s="156" t="str">
        <f t="shared" si="6"/>
        <v>CopperGlogow II (refinery)</v>
      </c>
      <c r="K226" s="156" t="str">
        <f t="shared" si="7"/>
        <v>CopperGlogow II (refinery)</v>
      </c>
    </row>
    <row r="227" spans="1:11">
      <c r="A227" s="156" t="s">
        <v>18684</v>
      </c>
      <c r="B227" s="156" t="s">
        <v>18706</v>
      </c>
      <c r="C227" s="156" t="s">
        <v>18706</v>
      </c>
      <c r="D227" s="156" t="s">
        <v>305</v>
      </c>
      <c r="E227" s="156" t="s">
        <v>18707</v>
      </c>
      <c r="F227" s="157" t="s">
        <v>12</v>
      </c>
      <c r="H227" s="284" t="s">
        <v>19222</v>
      </c>
      <c r="I227" s="284" t="s">
        <v>12258</v>
      </c>
      <c r="J227" s="156" t="str">
        <f t="shared" si="6"/>
        <v>CopperHindalco Industries Ltd - Unit Birla Copper</v>
      </c>
      <c r="K227" s="156" t="str">
        <f t="shared" si="7"/>
        <v>CopperHindalco Industries Ltd - Unit Birla Copper</v>
      </c>
    </row>
    <row r="228" spans="1:11">
      <c r="A228" s="156" t="s">
        <v>18684</v>
      </c>
      <c r="B228" s="156" t="s">
        <v>18740</v>
      </c>
      <c r="C228" s="156" t="s">
        <v>18740</v>
      </c>
      <c r="D228" s="156" t="s">
        <v>1740</v>
      </c>
      <c r="E228" s="156" t="s">
        <v>18741</v>
      </c>
      <c r="F228" s="157" t="s">
        <v>12</v>
      </c>
      <c r="H228" s="284" t="s">
        <v>12289</v>
      </c>
      <c r="I228" s="284" t="s">
        <v>12000</v>
      </c>
      <c r="J228" s="156" t="str">
        <f t="shared" si="6"/>
        <v>CopperImpala Platinum - Base Metal Refinery (BMR)</v>
      </c>
      <c r="K228" s="156" t="str">
        <f t="shared" si="7"/>
        <v>CopperImpala Platinum - Base Metal Refinery (BMR)</v>
      </c>
    </row>
    <row r="229" spans="1:11">
      <c r="A229" s="156" t="s">
        <v>18684</v>
      </c>
      <c r="B229" s="156" t="s">
        <v>18742</v>
      </c>
      <c r="C229" s="156" t="s">
        <v>18742</v>
      </c>
      <c r="D229" s="156" t="s">
        <v>1740</v>
      </c>
      <c r="E229" s="156" t="s">
        <v>18743</v>
      </c>
      <c r="F229" s="157" t="s">
        <v>12</v>
      </c>
      <c r="H229" s="284" t="s">
        <v>12292</v>
      </c>
      <c r="I229" s="284" t="s">
        <v>3191</v>
      </c>
      <c r="J229" s="156" t="str">
        <f t="shared" si="6"/>
        <v>CopperImpala Platinum - Rustenburg Smelter</v>
      </c>
      <c r="K229" s="156" t="str">
        <f t="shared" si="7"/>
        <v>CopperImpala Platinum - Rustenburg Smelter</v>
      </c>
    </row>
    <row r="230" spans="1:11">
      <c r="A230" s="156" t="s">
        <v>18684</v>
      </c>
      <c r="B230" s="156" t="s">
        <v>18744</v>
      </c>
      <c r="C230" s="156" t="s">
        <v>18742</v>
      </c>
      <c r="D230" s="156" t="s">
        <v>1740</v>
      </c>
      <c r="E230" s="156" t="s">
        <v>18743</v>
      </c>
      <c r="F230" s="157" t="s">
        <v>12</v>
      </c>
      <c r="H230" s="284" t="s">
        <v>12292</v>
      </c>
      <c r="I230" s="284" t="s">
        <v>3191</v>
      </c>
      <c r="J230" s="156" t="str">
        <f t="shared" si="6"/>
        <v>CopperImpala Platinum Ltd.</v>
      </c>
      <c r="K230" s="156" t="str">
        <f t="shared" si="7"/>
        <v>CopperImpala Platinum Ltd.</v>
      </c>
    </row>
    <row r="231" spans="1:11">
      <c r="A231" s="156" t="s">
        <v>18684</v>
      </c>
      <c r="B231" s="156" t="s">
        <v>12287</v>
      </c>
      <c r="C231" s="156" t="s">
        <v>18740</v>
      </c>
      <c r="D231" s="156" t="s">
        <v>1740</v>
      </c>
      <c r="E231" s="156" t="s">
        <v>18741</v>
      </c>
      <c r="F231" s="157" t="s">
        <v>12</v>
      </c>
      <c r="H231" s="284" t="s">
        <v>12289</v>
      </c>
      <c r="I231" s="284" t="s">
        <v>12000</v>
      </c>
      <c r="J231" s="156" t="str">
        <f t="shared" si="6"/>
        <v>CopperImpala Refineries – Base Metals Refinery (BMR)</v>
      </c>
      <c r="K231" s="156" t="str">
        <f t="shared" si="7"/>
        <v>CopperImpala Refineries – Base Metals Refinery (BMR)</v>
      </c>
    </row>
    <row r="232" spans="1:11">
      <c r="A232" s="156" t="s">
        <v>18684</v>
      </c>
      <c r="B232" s="156" t="s">
        <v>12290</v>
      </c>
      <c r="C232" s="156" t="s">
        <v>18742</v>
      </c>
      <c r="D232" s="156" t="s">
        <v>1740</v>
      </c>
      <c r="E232" s="156" t="s">
        <v>18743</v>
      </c>
      <c r="F232" s="157" t="s">
        <v>12</v>
      </c>
      <c r="H232" s="284" t="s">
        <v>12292</v>
      </c>
      <c r="I232" s="284" t="s">
        <v>3191</v>
      </c>
      <c r="J232" s="156" t="str">
        <f t="shared" si="6"/>
        <v>CopperImpala Rustenburg</v>
      </c>
      <c r="K232" s="156" t="str">
        <f t="shared" si="7"/>
        <v>CopperImpala Rustenburg</v>
      </c>
    </row>
    <row r="233" spans="1:11">
      <c r="A233" s="156" t="s">
        <v>18684</v>
      </c>
      <c r="B233" s="156" t="s">
        <v>18745</v>
      </c>
      <c r="C233" s="156" t="s">
        <v>18745</v>
      </c>
      <c r="D233" s="156" t="s">
        <v>133</v>
      </c>
      <c r="E233" s="156" t="s">
        <v>18746</v>
      </c>
      <c r="F233" s="157" t="s">
        <v>12</v>
      </c>
      <c r="H233" s="284" t="s">
        <v>19307</v>
      </c>
      <c r="I233" s="284" t="s">
        <v>6053</v>
      </c>
      <c r="J233" s="156" t="str">
        <f t="shared" si="6"/>
        <v>CopperJX Nippon Mining &amp; Metals Co., Ltd. Hitachi</v>
      </c>
      <c r="K233" s="156" t="str">
        <f t="shared" si="7"/>
        <v>CopperJX Nippon Mining &amp; Metals Co., Ltd. Hitachi</v>
      </c>
    </row>
    <row r="234" spans="1:11">
      <c r="A234" s="156" t="s">
        <v>18684</v>
      </c>
      <c r="B234" s="156" t="s">
        <v>177</v>
      </c>
      <c r="C234" s="156" t="s">
        <v>177</v>
      </c>
      <c r="D234" s="156" t="s">
        <v>60</v>
      </c>
      <c r="E234" s="156" t="s">
        <v>18747</v>
      </c>
      <c r="F234" s="157" t="s">
        <v>12</v>
      </c>
      <c r="H234" s="284" t="s">
        <v>179</v>
      </c>
      <c r="I234" s="284" t="s">
        <v>180</v>
      </c>
      <c r="J234" s="156" t="str">
        <f t="shared" si="6"/>
        <v>CopperKamoto Copper Company</v>
      </c>
      <c r="K234" s="156" t="str">
        <f t="shared" si="7"/>
        <v>CopperKamoto Copper Company</v>
      </c>
    </row>
    <row r="235" spans="1:11">
      <c r="A235" s="156" t="s">
        <v>18684</v>
      </c>
      <c r="B235" s="156" t="s">
        <v>20054</v>
      </c>
      <c r="C235" s="156" t="s">
        <v>20054</v>
      </c>
      <c r="D235" s="156" t="s">
        <v>1818</v>
      </c>
      <c r="E235" s="156" t="s">
        <v>20055</v>
      </c>
      <c r="F235" s="157" t="s">
        <v>12</v>
      </c>
      <c r="H235" s="284" t="s">
        <v>20056</v>
      </c>
      <c r="I235" s="284" t="s">
        <v>6731</v>
      </c>
      <c r="J235" s="156" t="str">
        <f t="shared" si="6"/>
        <v>CopperKansanshi Copper Smelter</v>
      </c>
      <c r="K235" s="156" t="str">
        <f t="shared" si="7"/>
        <v>CopperKansanshi Copper Smelter</v>
      </c>
    </row>
    <row r="236" spans="1:11">
      <c r="A236" s="156" t="s">
        <v>18684</v>
      </c>
      <c r="B236" s="156" t="s">
        <v>19271</v>
      </c>
      <c r="C236" s="156" t="s">
        <v>19271</v>
      </c>
      <c r="D236" s="156" t="s">
        <v>300</v>
      </c>
      <c r="E236" s="156" t="s">
        <v>19272</v>
      </c>
      <c r="F236" s="157" t="s">
        <v>12</v>
      </c>
      <c r="H236" s="284" t="s">
        <v>19308</v>
      </c>
      <c r="I236" s="284" t="s">
        <v>11658</v>
      </c>
      <c r="J236" s="156" t="str">
        <f t="shared" si="6"/>
        <v>CopperKennecott Utah Copper LLC</v>
      </c>
      <c r="K236" s="156" t="str">
        <f t="shared" si="7"/>
        <v>CopperKennecott Utah Copper LLC</v>
      </c>
    </row>
    <row r="237" spans="1:11">
      <c r="A237" s="156" t="s">
        <v>18684</v>
      </c>
      <c r="B237" s="156" t="s">
        <v>18748</v>
      </c>
      <c r="C237" s="156" t="s">
        <v>19271</v>
      </c>
      <c r="D237" s="156" t="s">
        <v>300</v>
      </c>
      <c r="E237" s="156" t="s">
        <v>19272</v>
      </c>
      <c r="F237" s="157" t="s">
        <v>12</v>
      </c>
      <c r="H237" s="284" t="s">
        <v>19308</v>
      </c>
      <c r="I237" s="284" t="s">
        <v>11658</v>
      </c>
      <c r="J237" s="156" t="str">
        <f t="shared" si="6"/>
        <v>CopperKennecott Utah Copper LLC (Rio Tinto Kennecott or RTK)</v>
      </c>
      <c r="K237" s="156" t="str">
        <f t="shared" si="7"/>
        <v>CopperKennecott Utah Copper LLC (Rio Tinto Kennecott or RTK)</v>
      </c>
    </row>
    <row r="238" spans="1:11">
      <c r="A238" s="156" t="s">
        <v>18684</v>
      </c>
      <c r="B238" s="156" t="s">
        <v>18749</v>
      </c>
      <c r="C238" s="156" t="s">
        <v>19187</v>
      </c>
      <c r="D238" s="156" t="s">
        <v>60</v>
      </c>
      <c r="E238" s="156" t="s">
        <v>18723</v>
      </c>
      <c r="F238" s="157" t="s">
        <v>12</v>
      </c>
      <c r="H238" s="284" t="s">
        <v>19273</v>
      </c>
      <c r="I238" s="284" t="s">
        <v>180</v>
      </c>
      <c r="J238" s="156" t="str">
        <f t="shared" si="6"/>
        <v>CopperKFM</v>
      </c>
      <c r="K238" s="156" t="str">
        <f t="shared" si="7"/>
        <v>CopperKFM</v>
      </c>
    </row>
    <row r="239" spans="1:11">
      <c r="A239" s="156" t="s">
        <v>18684</v>
      </c>
      <c r="B239" s="156" t="s">
        <v>20050</v>
      </c>
      <c r="C239" s="156" t="s">
        <v>20050</v>
      </c>
      <c r="D239" s="156" t="s">
        <v>1683</v>
      </c>
      <c r="E239" s="156" t="s">
        <v>20051</v>
      </c>
      <c r="F239" s="157" t="s">
        <v>12</v>
      </c>
      <c r="H239" s="284" t="s">
        <v>20052</v>
      </c>
      <c r="I239" s="284" t="s">
        <v>9160</v>
      </c>
      <c r="J239" s="156" t="str">
        <f t="shared" si="6"/>
        <v>CopperKGHM Polska Miedz S.A. Oddzial Huta Miedzi, Glogow</v>
      </c>
      <c r="K239" s="156" t="str">
        <f t="shared" si="7"/>
        <v>CopperKGHM Polska Miedz S.A. Oddzial Huta Miedzi, Glogow</v>
      </c>
    </row>
    <row r="240" spans="1:11">
      <c r="A240" s="156" t="s">
        <v>18684</v>
      </c>
      <c r="B240" s="156" t="s">
        <v>18750</v>
      </c>
      <c r="C240" s="156" t="s">
        <v>18750</v>
      </c>
      <c r="D240" s="156" t="s">
        <v>1683</v>
      </c>
      <c r="E240" s="156" t="s">
        <v>18751</v>
      </c>
      <c r="F240" s="157" t="s">
        <v>12</v>
      </c>
      <c r="H240" s="284" t="s">
        <v>19310</v>
      </c>
      <c r="I240" s="284" t="s">
        <v>9160</v>
      </c>
      <c r="J240" s="156" t="str">
        <f t="shared" si="6"/>
        <v>CopperKGHM Polska Miedz S.A. Oddzial Huta Miedzi, Legnica</v>
      </c>
      <c r="K240" s="156" t="str">
        <f t="shared" si="7"/>
        <v>CopperKGHM Polska Miedz S.A. Oddzial Huta Miedzi, Legnica</v>
      </c>
    </row>
    <row r="241" spans="1:11">
      <c r="A241" s="156" t="s">
        <v>18684</v>
      </c>
      <c r="B241" s="156" t="s">
        <v>18752</v>
      </c>
      <c r="C241" s="156" t="s">
        <v>18753</v>
      </c>
      <c r="D241" s="156" t="s">
        <v>60</v>
      </c>
      <c r="E241" s="156" t="s">
        <v>18754</v>
      </c>
      <c r="F241" s="157" t="s">
        <v>12</v>
      </c>
      <c r="H241" s="284" t="s">
        <v>12321</v>
      </c>
      <c r="I241" s="284" t="s">
        <v>63</v>
      </c>
      <c r="J241" s="156" t="str">
        <f t="shared" si="6"/>
        <v>CopperKinsevere Phase 2</v>
      </c>
      <c r="K241" s="156" t="str">
        <f t="shared" si="7"/>
        <v>CopperKinsevere Phase 2</v>
      </c>
    </row>
    <row r="242" spans="1:11">
      <c r="A242" s="156" t="s">
        <v>18684</v>
      </c>
      <c r="B242" s="156" t="s">
        <v>220</v>
      </c>
      <c r="C242" s="156" t="s">
        <v>12234</v>
      </c>
      <c r="D242" s="156" t="s">
        <v>60</v>
      </c>
      <c r="E242" s="156" t="s">
        <v>18755</v>
      </c>
      <c r="F242" s="157" t="s">
        <v>12</v>
      </c>
      <c r="H242" s="284" t="s">
        <v>179</v>
      </c>
      <c r="I242" s="284" t="s">
        <v>180</v>
      </c>
      <c r="J242" s="156" t="str">
        <f t="shared" si="6"/>
        <v>CopperKisanfu</v>
      </c>
      <c r="K242" s="156" t="str">
        <f t="shared" si="7"/>
        <v>CopperKisanfu</v>
      </c>
    </row>
    <row r="243" spans="1:11">
      <c r="A243" s="156" t="s">
        <v>18684</v>
      </c>
      <c r="B243" s="156" t="s">
        <v>12234</v>
      </c>
      <c r="C243" s="156" t="s">
        <v>12234</v>
      </c>
      <c r="D243" s="156" t="s">
        <v>60</v>
      </c>
      <c r="E243" s="156" t="s">
        <v>18755</v>
      </c>
      <c r="F243" s="157" t="s">
        <v>12</v>
      </c>
      <c r="H243" s="284" t="s">
        <v>179</v>
      </c>
      <c r="I243" s="284" t="s">
        <v>180</v>
      </c>
      <c r="J243" s="156" t="str">
        <f t="shared" si="6"/>
        <v>CopperKisanfu Mining (Kimin)</v>
      </c>
      <c r="K243" s="156" t="str">
        <f t="shared" si="7"/>
        <v>CopperKisanfu Mining (Kimin)</v>
      </c>
    </row>
    <row r="244" spans="1:11">
      <c r="A244" s="156" t="s">
        <v>18684</v>
      </c>
      <c r="B244" s="156" t="s">
        <v>103</v>
      </c>
      <c r="C244" s="156" t="s">
        <v>20034</v>
      </c>
      <c r="D244" s="156" t="s">
        <v>101</v>
      </c>
      <c r="E244" s="156" t="s">
        <v>18756</v>
      </c>
      <c r="F244" s="157" t="s">
        <v>12</v>
      </c>
      <c r="H244" s="284" t="s">
        <v>103</v>
      </c>
      <c r="I244" s="284" t="s">
        <v>4175</v>
      </c>
      <c r="J244" s="156" t="str">
        <f t="shared" si="6"/>
        <v>CopperKokkola</v>
      </c>
      <c r="K244" s="156" t="str">
        <f t="shared" si="7"/>
        <v>CopperKokkola</v>
      </c>
    </row>
    <row r="245" spans="1:11">
      <c r="A245" s="156" t="s">
        <v>18684</v>
      </c>
      <c r="B245" s="156" t="s">
        <v>182</v>
      </c>
      <c r="C245" s="156" t="s">
        <v>12236</v>
      </c>
      <c r="D245" s="156" t="s">
        <v>60</v>
      </c>
      <c r="E245" s="156" t="s">
        <v>18757</v>
      </c>
      <c r="F245" s="157" t="s">
        <v>12</v>
      </c>
      <c r="H245" s="284" t="s">
        <v>62</v>
      </c>
      <c r="I245" s="284" t="s">
        <v>63</v>
      </c>
      <c r="J245" s="156" t="str">
        <f t="shared" si="6"/>
        <v>CopperKolwezi Tailings (KMT, aka Kingamyambo Musonoi Tailings)</v>
      </c>
      <c r="K245" s="156" t="str">
        <f t="shared" si="7"/>
        <v>CopperKolwezi Tailings (KMT, aka Kingamyambo Musonoi Tailings)</v>
      </c>
    </row>
    <row r="246" spans="1:11">
      <c r="A246" s="156" t="s">
        <v>18684</v>
      </c>
      <c r="B246" s="156" t="s">
        <v>18758</v>
      </c>
      <c r="C246" s="156" t="s">
        <v>18758</v>
      </c>
      <c r="D246" s="156" t="s">
        <v>173</v>
      </c>
      <c r="E246" s="156" t="s">
        <v>18759</v>
      </c>
      <c r="F246" s="157" t="s">
        <v>12</v>
      </c>
      <c r="H246" s="284" t="s">
        <v>19311</v>
      </c>
      <c r="I246" s="284" t="s">
        <v>9520</v>
      </c>
      <c r="J246" s="156" t="str">
        <f t="shared" si="6"/>
        <v>CopperKyshtym Copper-Electrolytic Plant</v>
      </c>
      <c r="K246" s="156" t="str">
        <f t="shared" si="7"/>
        <v>CopperKyshtym Copper-Electrolytic Plant</v>
      </c>
    </row>
    <row r="247" spans="1:11">
      <c r="A247" s="156" t="s">
        <v>18684</v>
      </c>
      <c r="B247" s="156" t="s">
        <v>18760</v>
      </c>
      <c r="C247" s="156" t="s">
        <v>20057</v>
      </c>
      <c r="D247" s="156" t="s">
        <v>1620</v>
      </c>
      <c r="E247" s="156" t="s">
        <v>18761</v>
      </c>
      <c r="F247" s="157" t="s">
        <v>12</v>
      </c>
      <c r="H247" s="284" t="s">
        <v>19312</v>
      </c>
      <c r="I247" s="284" t="s">
        <v>8293</v>
      </c>
      <c r="J247" s="156" t="str">
        <f t="shared" si="6"/>
        <v>CopperLa Caridad</v>
      </c>
      <c r="K247" s="156" t="str">
        <f t="shared" si="7"/>
        <v>CopperLa Caridad</v>
      </c>
    </row>
    <row r="248" spans="1:11">
      <c r="A248" s="156" t="s">
        <v>18684</v>
      </c>
      <c r="B248" s="156" t="s">
        <v>12236</v>
      </c>
      <c r="C248" s="156" t="s">
        <v>12236</v>
      </c>
      <c r="D248" s="156" t="s">
        <v>60</v>
      </c>
      <c r="E248" s="156" t="s">
        <v>18757</v>
      </c>
      <c r="F248" s="157" t="s">
        <v>12</v>
      </c>
      <c r="H248" s="284" t="s">
        <v>62</v>
      </c>
      <c r="I248" s="284" t="s">
        <v>63</v>
      </c>
      <c r="J248" s="156" t="str">
        <f t="shared" si="6"/>
        <v>CopperLa Compagnie de Traitement des Rejets de Kingamyambo S.A. (Metalkol S.A.)</v>
      </c>
      <c r="K248" s="156" t="str">
        <f t="shared" si="7"/>
        <v>CopperLa Compagnie de Traitement des Rejets de Kingamyambo S.A. (Metalkol S.A.)</v>
      </c>
    </row>
    <row r="249" spans="1:11">
      <c r="A249" s="156" t="s">
        <v>18684</v>
      </c>
      <c r="B249" s="156" t="s">
        <v>18762</v>
      </c>
      <c r="C249" s="156" t="s">
        <v>18762</v>
      </c>
      <c r="D249" s="156" t="s">
        <v>1428</v>
      </c>
      <c r="E249" s="156" t="s">
        <v>18763</v>
      </c>
      <c r="F249" s="157" t="s">
        <v>12</v>
      </c>
      <c r="H249" s="284" t="s">
        <v>19226</v>
      </c>
      <c r="I249" s="284" t="s">
        <v>3180</v>
      </c>
      <c r="J249" s="156" t="str">
        <f t="shared" si="6"/>
        <v>CopperLas Ventanas</v>
      </c>
      <c r="K249" s="156" t="str">
        <f t="shared" si="7"/>
        <v>CopperLas Ventanas</v>
      </c>
    </row>
    <row r="250" spans="1:11">
      <c r="A250" s="156" t="s">
        <v>18684</v>
      </c>
      <c r="B250" s="156" t="s">
        <v>18764</v>
      </c>
      <c r="C250" s="156" t="s">
        <v>18764</v>
      </c>
      <c r="D250" s="156" t="s">
        <v>1428</v>
      </c>
      <c r="E250" s="156" t="s">
        <v>18765</v>
      </c>
      <c r="F250" s="157" t="s">
        <v>12</v>
      </c>
      <c r="H250" s="284" t="s">
        <v>3702</v>
      </c>
      <c r="I250" s="284" t="s">
        <v>3176</v>
      </c>
      <c r="J250" s="156" t="str">
        <f t="shared" si="6"/>
        <v>CopperLos Bronces</v>
      </c>
      <c r="K250" s="156" t="str">
        <f t="shared" si="7"/>
        <v>CopperLos Bronces</v>
      </c>
    </row>
    <row r="251" spans="1:11">
      <c r="A251" s="156" t="s">
        <v>18684</v>
      </c>
      <c r="B251" s="156" t="s">
        <v>18766</v>
      </c>
      <c r="C251" s="156" t="s">
        <v>18767</v>
      </c>
      <c r="D251" s="156" t="s">
        <v>81</v>
      </c>
      <c r="E251" s="156" t="s">
        <v>18768</v>
      </c>
      <c r="F251" s="157" t="s">
        <v>12</v>
      </c>
      <c r="H251" s="284" t="s">
        <v>19227</v>
      </c>
      <c r="I251" s="284" t="s">
        <v>6452</v>
      </c>
      <c r="J251" s="156" t="str">
        <f t="shared" si="6"/>
        <v>CopperLS MnM (ONSAN)</v>
      </c>
      <c r="K251" s="156" t="str">
        <f t="shared" si="7"/>
        <v>CopperLS MnM (ONSAN)</v>
      </c>
    </row>
    <row r="252" spans="1:11">
      <c r="A252" s="156" t="s">
        <v>18684</v>
      </c>
      <c r="B252" s="156" t="s">
        <v>18767</v>
      </c>
      <c r="C252" s="156" t="s">
        <v>18767</v>
      </c>
      <c r="D252" s="156" t="s">
        <v>81</v>
      </c>
      <c r="E252" s="156" t="s">
        <v>18768</v>
      </c>
      <c r="F252" s="157" t="s">
        <v>12</v>
      </c>
      <c r="H252" s="284" t="s">
        <v>19227</v>
      </c>
      <c r="I252" s="284" t="s">
        <v>6452</v>
      </c>
      <c r="J252" s="156" t="str">
        <f t="shared" si="6"/>
        <v>CopperLS MnM Inc.</v>
      </c>
      <c r="K252" s="156" t="str">
        <f t="shared" si="7"/>
        <v>CopperLS MnM Inc.</v>
      </c>
    </row>
    <row r="253" spans="1:11">
      <c r="A253" s="156" t="s">
        <v>18684</v>
      </c>
      <c r="B253" s="156" t="s">
        <v>18769</v>
      </c>
      <c r="C253" s="156" t="s">
        <v>12303</v>
      </c>
      <c r="D253" s="156" t="s">
        <v>60</v>
      </c>
      <c r="E253" s="156" t="s">
        <v>18770</v>
      </c>
      <c r="F253" s="157" t="s">
        <v>12</v>
      </c>
      <c r="H253" s="284" t="s">
        <v>12304</v>
      </c>
      <c r="I253" s="284" t="s">
        <v>180</v>
      </c>
      <c r="J253" s="156" t="str">
        <f t="shared" si="6"/>
        <v>CopperLuilu</v>
      </c>
      <c r="K253" s="156" t="str">
        <f t="shared" si="7"/>
        <v>CopperLuilu</v>
      </c>
    </row>
    <row r="254" spans="1:11">
      <c r="A254" s="156" t="s">
        <v>18684</v>
      </c>
      <c r="B254" s="156" t="s">
        <v>18771</v>
      </c>
      <c r="C254" s="156" t="s">
        <v>12303</v>
      </c>
      <c r="D254" s="156" t="s">
        <v>60</v>
      </c>
      <c r="E254" s="156" t="s">
        <v>18770</v>
      </c>
      <c r="F254" s="157" t="s">
        <v>12</v>
      </c>
      <c r="H254" s="284" t="s">
        <v>12304</v>
      </c>
      <c r="I254" s="284" t="s">
        <v>180</v>
      </c>
      <c r="J254" s="156" t="str">
        <f t="shared" si="6"/>
        <v>CopperLuilu (leach plant)</v>
      </c>
      <c r="K254" s="156" t="str">
        <f t="shared" si="7"/>
        <v>CopperLuilu (leach plant)</v>
      </c>
    </row>
    <row r="255" spans="1:11">
      <c r="A255" s="156" t="s">
        <v>18684</v>
      </c>
      <c r="B255" s="156" t="s">
        <v>12303</v>
      </c>
      <c r="C255" s="156" t="s">
        <v>12303</v>
      </c>
      <c r="D255" s="156" t="s">
        <v>60</v>
      </c>
      <c r="E255" s="156" t="s">
        <v>18770</v>
      </c>
      <c r="F255" s="157" t="s">
        <v>12</v>
      </c>
      <c r="H255" s="284" t="s">
        <v>12304</v>
      </c>
      <c r="I255" s="284" t="s">
        <v>180</v>
      </c>
      <c r="J255" s="156" t="str">
        <f t="shared" si="6"/>
        <v>CopperLUILU RESSOURCES SAS</v>
      </c>
      <c r="K255" s="156" t="str">
        <f t="shared" si="7"/>
        <v>CopperLUILU RESSOURCES SAS</v>
      </c>
    </row>
    <row r="256" spans="1:11">
      <c r="A256" s="156" t="s">
        <v>18684</v>
      </c>
      <c r="B256" s="156" t="s">
        <v>18772</v>
      </c>
      <c r="C256" s="156" t="s">
        <v>18772</v>
      </c>
      <c r="D256" s="156" t="s">
        <v>1428</v>
      </c>
      <c r="E256" s="156" t="s">
        <v>18773</v>
      </c>
      <c r="F256" s="157" t="s">
        <v>12</v>
      </c>
      <c r="H256" s="284" t="s">
        <v>3152</v>
      </c>
      <c r="I256" s="284" t="s">
        <v>3152</v>
      </c>
      <c r="J256" s="156" t="str">
        <f t="shared" si="6"/>
        <v>CopperMantos Blancos</v>
      </c>
      <c r="K256" s="156" t="str">
        <f t="shared" si="7"/>
        <v>CopperMantos Blancos</v>
      </c>
    </row>
    <row r="257" spans="1:11">
      <c r="A257" s="156" t="s">
        <v>18684</v>
      </c>
      <c r="B257" s="156" t="s">
        <v>18774</v>
      </c>
      <c r="C257" s="156" t="s">
        <v>18774</v>
      </c>
      <c r="D257" s="156" t="s">
        <v>1428</v>
      </c>
      <c r="E257" s="156" t="s">
        <v>18775</v>
      </c>
      <c r="F257" s="157" t="s">
        <v>12</v>
      </c>
      <c r="H257" s="284" t="s">
        <v>19313</v>
      </c>
      <c r="I257" s="284" t="s">
        <v>3158</v>
      </c>
      <c r="J257" s="156" t="str">
        <f t="shared" si="6"/>
        <v>CopperMantoverde</v>
      </c>
      <c r="K257" s="156" t="str">
        <f t="shared" si="7"/>
        <v>CopperMantoverde</v>
      </c>
    </row>
    <row r="258" spans="1:11">
      <c r="A258" s="156" t="s">
        <v>18684</v>
      </c>
      <c r="B258" s="156" t="s">
        <v>209</v>
      </c>
      <c r="C258" s="156" t="s">
        <v>12236</v>
      </c>
      <c r="D258" s="156" t="s">
        <v>60</v>
      </c>
      <c r="E258" s="156" t="s">
        <v>18757</v>
      </c>
      <c r="F258" s="157" t="s">
        <v>12</v>
      </c>
      <c r="H258" s="284" t="s">
        <v>62</v>
      </c>
      <c r="I258" s="284" t="s">
        <v>63</v>
      </c>
      <c r="J258" s="156" t="str">
        <f t="shared" si="6"/>
        <v>CopperMetalkol</v>
      </c>
      <c r="K258" s="156" t="str">
        <f t="shared" si="7"/>
        <v>CopperMetalkol</v>
      </c>
    </row>
    <row r="259" spans="1:11">
      <c r="A259" s="156" t="s">
        <v>18684</v>
      </c>
      <c r="B259" s="156" t="s">
        <v>18776</v>
      </c>
      <c r="C259" s="156" t="s">
        <v>20032</v>
      </c>
      <c r="D259" s="156" t="s">
        <v>270</v>
      </c>
      <c r="E259" s="156" t="s">
        <v>18777</v>
      </c>
      <c r="F259" s="157" t="s">
        <v>12</v>
      </c>
      <c r="H259" s="284" t="s">
        <v>19301</v>
      </c>
      <c r="I259" s="284" t="s">
        <v>273</v>
      </c>
      <c r="J259" s="156" t="str">
        <f t="shared" si="6"/>
        <v>CopperMetallo  (Aurubis)</v>
      </c>
      <c r="K259" s="156" t="str">
        <f t="shared" si="7"/>
        <v>CopperMetallo  (Aurubis)</v>
      </c>
    </row>
    <row r="260" spans="1:11">
      <c r="A260" s="156" t="s">
        <v>18684</v>
      </c>
      <c r="B260" s="156" t="s">
        <v>20058</v>
      </c>
      <c r="C260" s="156" t="s">
        <v>20058</v>
      </c>
      <c r="D260" s="156" t="s">
        <v>1620</v>
      </c>
      <c r="E260" s="156" t="s">
        <v>20059</v>
      </c>
      <c r="F260" s="157" t="s">
        <v>12</v>
      </c>
      <c r="H260" s="284" t="s">
        <v>20060</v>
      </c>
      <c r="I260" s="284" t="s">
        <v>20061</v>
      </c>
      <c r="J260" s="156" t="str">
        <f t="shared" si="6"/>
        <v>CopperMetalurgica de Cobre S.A. de C.V. (Unidad Planta Metalurgica)</v>
      </c>
      <c r="K260" s="156" t="str">
        <f t="shared" si="7"/>
        <v>CopperMetalurgica de Cobre S.A. de C.V. (Unidad Planta Metalurgica)</v>
      </c>
    </row>
    <row r="261" spans="1:11">
      <c r="A261" s="156" t="s">
        <v>18684</v>
      </c>
      <c r="B261" s="156" t="s">
        <v>18778</v>
      </c>
      <c r="C261" s="156" t="s">
        <v>18778</v>
      </c>
      <c r="D261" s="156" t="s">
        <v>300</v>
      </c>
      <c r="E261" s="156" t="s">
        <v>18779</v>
      </c>
      <c r="F261" s="157" t="s">
        <v>12</v>
      </c>
      <c r="H261" s="284" t="s">
        <v>19314</v>
      </c>
      <c r="I261" s="284" t="s">
        <v>11585</v>
      </c>
      <c r="J261" s="156" t="str">
        <f t="shared" si="6"/>
        <v>CopperMiami (SX-EW)</v>
      </c>
      <c r="K261" s="156" t="str">
        <f t="shared" si="7"/>
        <v>CopperMiami (SX-EW)</v>
      </c>
    </row>
    <row r="262" spans="1:11">
      <c r="A262" s="156" t="s">
        <v>18684</v>
      </c>
      <c r="B262" s="156" t="s">
        <v>18780</v>
      </c>
      <c r="C262" s="156" t="s">
        <v>18780</v>
      </c>
      <c r="D262" s="156" t="s">
        <v>1428</v>
      </c>
      <c r="E262" s="156" t="s">
        <v>18781</v>
      </c>
      <c r="F262" s="157" t="s">
        <v>12</v>
      </c>
      <c r="H262" s="284" t="s">
        <v>19315</v>
      </c>
      <c r="I262" s="284" t="s">
        <v>3152</v>
      </c>
      <c r="J262" s="156" t="str">
        <f t="shared" ref="J262:J327" si="8">A262&amp;B262</f>
        <v>CopperMichilla</v>
      </c>
      <c r="K262" s="156" t="str">
        <f t="shared" ref="K262:K327" si="9">A262&amp;B262</f>
        <v>CopperMichilla</v>
      </c>
    </row>
    <row r="263" spans="1:11">
      <c r="A263" s="156" t="s">
        <v>18684</v>
      </c>
      <c r="B263" s="156" t="s">
        <v>18782</v>
      </c>
      <c r="C263" s="156" t="s">
        <v>18782</v>
      </c>
      <c r="D263" s="156" t="s">
        <v>1677</v>
      </c>
      <c r="E263" s="156" t="s">
        <v>18783</v>
      </c>
      <c r="F263" s="157" t="s">
        <v>12</v>
      </c>
      <c r="H263" s="284" t="s">
        <v>19316</v>
      </c>
      <c r="I263" s="284" t="s">
        <v>8788</v>
      </c>
      <c r="J263" s="156" t="str">
        <f t="shared" si="8"/>
        <v>CopperMina Justa</v>
      </c>
      <c r="K263" s="156" t="str">
        <f t="shared" si="9"/>
        <v>CopperMina Justa</v>
      </c>
    </row>
    <row r="264" spans="1:11">
      <c r="A264" s="156" t="s">
        <v>18684</v>
      </c>
      <c r="B264" s="156" t="s">
        <v>20031</v>
      </c>
      <c r="C264" s="156" t="s">
        <v>20031</v>
      </c>
      <c r="D264" s="156" t="s">
        <v>1428</v>
      </c>
      <c r="E264" s="156" t="s">
        <v>18692</v>
      </c>
      <c r="F264" s="157" t="s">
        <v>12</v>
      </c>
      <c r="H264" s="284" t="s">
        <v>19300</v>
      </c>
      <c r="I264" s="284" t="s">
        <v>3152</v>
      </c>
      <c r="J264" s="156" t="str">
        <f t="shared" si="8"/>
        <v>CopperMinera Antucoya</v>
      </c>
      <c r="K264" s="156" t="str">
        <f t="shared" si="9"/>
        <v>CopperMinera Antucoya</v>
      </c>
    </row>
    <row r="265" spans="1:11">
      <c r="A265" s="156" t="s">
        <v>18684</v>
      </c>
      <c r="B265" s="156" t="s">
        <v>18784</v>
      </c>
      <c r="C265" s="156" t="s">
        <v>18784</v>
      </c>
      <c r="D265" s="156" t="s">
        <v>1428</v>
      </c>
      <c r="E265" s="156" t="s">
        <v>18785</v>
      </c>
      <c r="F265" s="157" t="s">
        <v>12</v>
      </c>
      <c r="H265" s="284" t="s">
        <v>3158</v>
      </c>
      <c r="I265" s="284" t="s">
        <v>3152</v>
      </c>
      <c r="J265" s="156" t="str">
        <f t="shared" si="8"/>
        <v>CopperMinera Escondida Limitada</v>
      </c>
      <c r="K265" s="156" t="str">
        <f t="shared" si="9"/>
        <v>CopperMinera Escondida Limitada</v>
      </c>
    </row>
    <row r="266" spans="1:11">
      <c r="A266" s="156" t="s">
        <v>18684</v>
      </c>
      <c r="B266" s="156" t="s">
        <v>20062</v>
      </c>
      <c r="C266" s="156" t="s">
        <v>20062</v>
      </c>
      <c r="D266" s="156" t="s">
        <v>1428</v>
      </c>
      <c r="E266" s="156" t="s">
        <v>20063</v>
      </c>
      <c r="F266" s="157" t="s">
        <v>12</v>
      </c>
      <c r="H266" s="284" t="s">
        <v>19306</v>
      </c>
      <c r="I266" s="284" t="s">
        <v>3152</v>
      </c>
      <c r="J266" s="156" t="str">
        <f t="shared" si="8"/>
        <v>CopperMinera Spence S.A.</v>
      </c>
      <c r="K266" s="156" t="str">
        <f t="shared" si="9"/>
        <v>CopperMinera Spence S.A.</v>
      </c>
    </row>
    <row r="267" spans="1:11">
      <c r="A267" s="156" t="s">
        <v>18684</v>
      </c>
      <c r="B267" s="156" t="s">
        <v>18753</v>
      </c>
      <c r="C267" s="156" t="s">
        <v>18753</v>
      </c>
      <c r="D267" s="156" t="s">
        <v>60</v>
      </c>
      <c r="E267" s="156" t="s">
        <v>18754</v>
      </c>
      <c r="F267" s="157" t="s">
        <v>12</v>
      </c>
      <c r="H267" s="284" t="s">
        <v>12321</v>
      </c>
      <c r="I267" s="284" t="s">
        <v>63</v>
      </c>
      <c r="J267" s="156" t="str">
        <f t="shared" si="8"/>
        <v>CopperMMG Kinsevere SARL</v>
      </c>
      <c r="K267" s="156" t="str">
        <f t="shared" si="9"/>
        <v>CopperMMG Kinsevere SARL</v>
      </c>
    </row>
    <row r="268" spans="1:11">
      <c r="A268" s="156" t="s">
        <v>18684</v>
      </c>
      <c r="B268" s="156" t="s">
        <v>18786</v>
      </c>
      <c r="C268" s="156" t="s">
        <v>18786</v>
      </c>
      <c r="D268" s="156" t="s">
        <v>300</v>
      </c>
      <c r="E268" s="156" t="s">
        <v>18787</v>
      </c>
      <c r="F268" s="157" t="s">
        <v>12</v>
      </c>
      <c r="H268" s="284" t="s">
        <v>18786</v>
      </c>
      <c r="I268" s="284" t="s">
        <v>11585</v>
      </c>
      <c r="J268" s="156" t="str">
        <f t="shared" si="8"/>
        <v>CopperMorenci</v>
      </c>
      <c r="K268" s="156" t="str">
        <f t="shared" si="9"/>
        <v>CopperMorenci</v>
      </c>
    </row>
    <row r="269" spans="1:11">
      <c r="A269" s="156" t="s">
        <v>18684</v>
      </c>
      <c r="B269" s="156" t="s">
        <v>20064</v>
      </c>
      <c r="C269" s="156" t="s">
        <v>20064</v>
      </c>
      <c r="D269" s="156" t="s">
        <v>212</v>
      </c>
      <c r="E269" s="156" t="s">
        <v>18789</v>
      </c>
      <c r="F269" s="157" t="s">
        <v>12</v>
      </c>
      <c r="H269" s="284" t="s">
        <v>19317</v>
      </c>
      <c r="I269" s="284" t="s">
        <v>2085</v>
      </c>
      <c r="J269" s="156" t="str">
        <f t="shared" si="8"/>
        <v>CopperMount Isa Mines Limited - Copper Refineries Pty Ltd (CRL)</v>
      </c>
      <c r="K269" s="156" t="str">
        <f t="shared" si="9"/>
        <v>CopperMount Isa Mines Limited - Copper Refineries Pty Ltd (CRL)</v>
      </c>
    </row>
    <row r="270" spans="1:11">
      <c r="A270" s="156" t="s">
        <v>18684</v>
      </c>
      <c r="B270" s="156" t="s">
        <v>18788</v>
      </c>
      <c r="C270" s="156" t="s">
        <v>20064</v>
      </c>
      <c r="D270" s="156" t="s">
        <v>212</v>
      </c>
      <c r="E270" s="156" t="s">
        <v>18789</v>
      </c>
      <c r="F270" s="157" t="s">
        <v>12</v>
      </c>
      <c r="H270" s="284" t="s">
        <v>19317</v>
      </c>
      <c r="I270" s="284" t="s">
        <v>2085</v>
      </c>
      <c r="J270" s="156" t="str">
        <f t="shared" si="8"/>
        <v>CopperMount Isa Mines Limited - Copper Refineries Pty Ltd (Glencore)</v>
      </c>
      <c r="K270" s="156" t="str">
        <f t="shared" si="9"/>
        <v>CopperMount Isa Mines Limited - Copper Refineries Pty Ltd (Glencore)</v>
      </c>
    </row>
    <row r="271" spans="1:11">
      <c r="A271" s="156" t="s">
        <v>18684</v>
      </c>
      <c r="B271" s="156" t="s">
        <v>12306</v>
      </c>
      <c r="C271" s="156" t="s">
        <v>12238</v>
      </c>
      <c r="D271" s="156" t="s">
        <v>60</v>
      </c>
      <c r="E271" s="156" t="s">
        <v>18790</v>
      </c>
      <c r="F271" s="157" t="s">
        <v>12</v>
      </c>
      <c r="H271" s="284" t="s">
        <v>179</v>
      </c>
      <c r="I271" s="284" t="s">
        <v>180</v>
      </c>
      <c r="J271" s="156" t="str">
        <f t="shared" si="8"/>
        <v>CopperMutanda</v>
      </c>
      <c r="K271" s="156" t="str">
        <f t="shared" si="9"/>
        <v>CopperMutanda</v>
      </c>
    </row>
    <row r="272" spans="1:11">
      <c r="A272" s="156" t="s">
        <v>18684</v>
      </c>
      <c r="B272" s="156" t="s">
        <v>12238</v>
      </c>
      <c r="C272" s="156" t="s">
        <v>12238</v>
      </c>
      <c r="D272" s="156" t="s">
        <v>60</v>
      </c>
      <c r="E272" s="156" t="s">
        <v>18790</v>
      </c>
      <c r="F272" s="157" t="s">
        <v>12</v>
      </c>
      <c r="H272" s="284" t="s">
        <v>179</v>
      </c>
      <c r="I272" s="284" t="s">
        <v>180</v>
      </c>
      <c r="J272" s="156" t="str">
        <f t="shared" si="8"/>
        <v>CopperMutanda Mining SPRL</v>
      </c>
      <c r="K272" s="156" t="str">
        <f t="shared" si="9"/>
        <v>CopperMutanda Mining SPRL</v>
      </c>
    </row>
    <row r="273" spans="1:11">
      <c r="A273" s="156" t="s">
        <v>18684</v>
      </c>
      <c r="B273" s="156" t="s">
        <v>12130</v>
      </c>
      <c r="C273" s="156" t="s">
        <v>12091</v>
      </c>
      <c r="D273" s="156" t="s">
        <v>173</v>
      </c>
      <c r="E273" s="156" t="s">
        <v>18791</v>
      </c>
      <c r="F273" s="157" t="s">
        <v>12</v>
      </c>
      <c r="H273" s="284" t="s">
        <v>12092</v>
      </c>
      <c r="I273" s="284" t="s">
        <v>9671</v>
      </c>
      <c r="J273" s="156" t="str">
        <f t="shared" si="8"/>
        <v>CopperNadezhda Metallurgical Plant (named after B.I. Kolesnikov) of the Polar Division of PJSC MMC Norilsk Nickel</v>
      </c>
      <c r="K273" s="156" t="str">
        <f t="shared" si="9"/>
        <v>CopperNadezhda Metallurgical Plant (named after B.I. Kolesnikov) of the Polar Division of PJSC MMC Norilsk Nickel</v>
      </c>
    </row>
    <row r="274" spans="1:11">
      <c r="A274" s="156" t="s">
        <v>18684</v>
      </c>
      <c r="B274" s="156" t="s">
        <v>12091</v>
      </c>
      <c r="C274" s="156" t="s">
        <v>12091</v>
      </c>
      <c r="D274" s="156" t="s">
        <v>173</v>
      </c>
      <c r="E274" s="156" t="s">
        <v>18791</v>
      </c>
      <c r="F274" s="157" t="s">
        <v>12</v>
      </c>
      <c r="H274" s="284" t="s">
        <v>12092</v>
      </c>
      <c r="I274" s="284" t="s">
        <v>9671</v>
      </c>
      <c r="J274" s="156" t="str">
        <f t="shared" si="8"/>
        <v>CopperNadezhda Metallurgical Plant of MMC Norilsk Nickel's Polar Division</v>
      </c>
      <c r="K274" s="156" t="str">
        <f t="shared" si="9"/>
        <v>CopperNadezhda Metallurgical Plant of MMC Norilsk Nickel's Polar Division</v>
      </c>
    </row>
    <row r="275" spans="1:11">
      <c r="A275" s="156" t="s">
        <v>18684</v>
      </c>
      <c r="B275" s="156" t="s">
        <v>18792</v>
      </c>
      <c r="C275" s="156" t="s">
        <v>18792</v>
      </c>
      <c r="D275" s="156" t="s">
        <v>1818</v>
      </c>
      <c r="E275" s="156" t="s">
        <v>18793</v>
      </c>
      <c r="F275" s="157" t="s">
        <v>12</v>
      </c>
      <c r="H275" s="284" t="s">
        <v>19318</v>
      </c>
      <c r="I275" s="284" t="s">
        <v>12053</v>
      </c>
      <c r="J275" s="156" t="str">
        <f t="shared" si="8"/>
        <v>CopperNKANA COPPER REFINERY - Nkana (Kitwe)</v>
      </c>
      <c r="K275" s="156" t="str">
        <f t="shared" si="9"/>
        <v>CopperNKANA COPPER REFINERY - Nkana (Kitwe)</v>
      </c>
    </row>
    <row r="276" spans="1:11">
      <c r="A276" s="156" t="s">
        <v>18684</v>
      </c>
      <c r="B276" s="156" t="s">
        <v>18794</v>
      </c>
      <c r="C276" s="156" t="s">
        <v>18794</v>
      </c>
      <c r="D276" s="156" t="s">
        <v>212</v>
      </c>
      <c r="E276" s="156" t="s">
        <v>18795</v>
      </c>
      <c r="F276" s="157" t="s">
        <v>12</v>
      </c>
      <c r="H276" s="284" t="s">
        <v>19319</v>
      </c>
      <c r="I276" s="284" t="s">
        <v>2087</v>
      </c>
      <c r="J276" s="156" t="str">
        <f t="shared" si="8"/>
        <v>CopperOlympic Dam</v>
      </c>
      <c r="K276" s="156" t="str">
        <f t="shared" si="9"/>
        <v>CopperOlympic Dam</v>
      </c>
    </row>
    <row r="277" spans="1:11">
      <c r="A277" s="156" t="s">
        <v>18684</v>
      </c>
      <c r="B277" s="156" t="s">
        <v>18796</v>
      </c>
      <c r="C277" s="156" t="s">
        <v>18767</v>
      </c>
      <c r="D277" s="156" t="s">
        <v>81</v>
      </c>
      <c r="E277" s="156" t="s">
        <v>18768</v>
      </c>
      <c r="F277" s="157" t="s">
        <v>12</v>
      </c>
      <c r="H277" s="284" t="s">
        <v>19227</v>
      </c>
      <c r="I277" s="284" t="s">
        <v>6452</v>
      </c>
      <c r="J277" s="156" t="str">
        <f t="shared" si="8"/>
        <v>CopperOnsan Refinery I</v>
      </c>
      <c r="K277" s="156" t="str">
        <f t="shared" si="9"/>
        <v>CopperOnsan Refinery I</v>
      </c>
    </row>
    <row r="278" spans="1:11">
      <c r="A278" s="156" t="s">
        <v>18684</v>
      </c>
      <c r="B278" s="156" t="s">
        <v>18797</v>
      </c>
      <c r="C278" s="156" t="s">
        <v>18767</v>
      </c>
      <c r="D278" s="156" t="s">
        <v>81</v>
      </c>
      <c r="E278" s="156" t="s">
        <v>18768</v>
      </c>
      <c r="F278" s="157" t="s">
        <v>12</v>
      </c>
      <c r="H278" s="284" t="s">
        <v>19227</v>
      </c>
      <c r="I278" s="284" t="s">
        <v>6452</v>
      </c>
      <c r="J278" s="156" t="str">
        <f t="shared" si="8"/>
        <v>CopperOnsan Refinery II</v>
      </c>
      <c r="K278" s="156" t="str">
        <f t="shared" si="9"/>
        <v>CopperOnsan Refinery II</v>
      </c>
    </row>
    <row r="279" spans="1:11">
      <c r="A279" s="156" t="s">
        <v>18684</v>
      </c>
      <c r="B279" s="156" t="s">
        <v>18798</v>
      </c>
      <c r="C279" s="156" t="s">
        <v>20043</v>
      </c>
      <c r="D279" s="156" t="s">
        <v>1428</v>
      </c>
      <c r="E279" s="156" t="s">
        <v>18799</v>
      </c>
      <c r="F279" s="157" t="s">
        <v>12</v>
      </c>
      <c r="H279" s="284" t="s">
        <v>19223</v>
      </c>
      <c r="I279" s="284" t="s">
        <v>3152</v>
      </c>
      <c r="J279" s="156" t="str">
        <f t="shared" si="8"/>
        <v>CopperRadomiro Tomic</v>
      </c>
      <c r="K279" s="156" t="str">
        <f t="shared" si="9"/>
        <v>CopperRadomiro Tomic</v>
      </c>
    </row>
    <row r="280" spans="1:11">
      <c r="A280" s="156" t="s">
        <v>18684</v>
      </c>
      <c r="B280" s="156" t="s">
        <v>18800</v>
      </c>
      <c r="C280" s="156" t="s">
        <v>254</v>
      </c>
      <c r="D280" s="156" t="s">
        <v>60</v>
      </c>
      <c r="E280" s="156" t="s">
        <v>18801</v>
      </c>
      <c r="F280" s="157" t="s">
        <v>12</v>
      </c>
      <c r="H280" s="284" t="s">
        <v>256</v>
      </c>
      <c r="I280" s="284" t="s">
        <v>63</v>
      </c>
      <c r="J280" s="156" t="str">
        <f t="shared" si="8"/>
        <v>CopperRuashi II</v>
      </c>
      <c r="K280" s="156" t="str">
        <f t="shared" si="9"/>
        <v>CopperRuashi II</v>
      </c>
    </row>
    <row r="281" spans="1:11">
      <c r="A281" s="156" t="s">
        <v>18684</v>
      </c>
      <c r="B281" s="156" t="s">
        <v>18800</v>
      </c>
      <c r="C281" s="156" t="s">
        <v>254</v>
      </c>
      <c r="D281" s="156" t="s">
        <v>60</v>
      </c>
      <c r="E281" s="156" t="s">
        <v>18802</v>
      </c>
      <c r="F281" s="157" t="s">
        <v>12</v>
      </c>
      <c r="H281" s="284" t="s">
        <v>256</v>
      </c>
      <c r="I281" s="284" t="s">
        <v>63</v>
      </c>
      <c r="J281" s="156" t="str">
        <f t="shared" si="8"/>
        <v>CopperRuashi II</v>
      </c>
      <c r="K281" s="156" t="str">
        <f t="shared" si="9"/>
        <v>CopperRuashi II</v>
      </c>
    </row>
    <row r="282" spans="1:11">
      <c r="A282" s="156" t="s">
        <v>18684</v>
      </c>
      <c r="B282" s="156" t="s">
        <v>254</v>
      </c>
      <c r="C282" s="156" t="s">
        <v>254</v>
      </c>
      <c r="D282" s="156" t="s">
        <v>60</v>
      </c>
      <c r="E282" s="156" t="s">
        <v>18801</v>
      </c>
      <c r="F282" s="157" t="s">
        <v>12</v>
      </c>
      <c r="H282" s="284" t="s">
        <v>256</v>
      </c>
      <c r="I282" s="284" t="s">
        <v>63</v>
      </c>
      <c r="J282" s="156" t="str">
        <f t="shared" si="8"/>
        <v>CopperRuashi Mining SAS</v>
      </c>
      <c r="K282" s="156" t="str">
        <f t="shared" si="9"/>
        <v>CopperRuashi Mining SAS</v>
      </c>
    </row>
    <row r="283" spans="1:11">
      <c r="A283" s="156" t="s">
        <v>18684</v>
      </c>
      <c r="B283" s="156" t="s">
        <v>254</v>
      </c>
      <c r="C283" s="156" t="s">
        <v>254</v>
      </c>
      <c r="D283" s="156" t="s">
        <v>60</v>
      </c>
      <c r="E283" s="156" t="s">
        <v>18802</v>
      </c>
      <c r="F283" s="157" t="s">
        <v>12</v>
      </c>
      <c r="H283" s="284" t="s">
        <v>256</v>
      </c>
      <c r="I283" s="284" t="s">
        <v>63</v>
      </c>
      <c r="J283" s="156" t="str">
        <f t="shared" si="8"/>
        <v>CopperRuashi Mining SAS</v>
      </c>
      <c r="K283" s="156" t="str">
        <f t="shared" si="9"/>
        <v>CopperRuashi Mining SAS</v>
      </c>
    </row>
    <row r="284" spans="1:11">
      <c r="A284" s="156" t="s">
        <v>18684</v>
      </c>
      <c r="B284" s="156" t="s">
        <v>12314</v>
      </c>
      <c r="C284" s="156" t="s">
        <v>12303</v>
      </c>
      <c r="D284" s="156" t="s">
        <v>60</v>
      </c>
      <c r="E284" s="156" t="s">
        <v>18770</v>
      </c>
      <c r="F284" s="157" t="s">
        <v>12</v>
      </c>
      <c r="H284" s="284" t="s">
        <v>12304</v>
      </c>
      <c r="I284" s="284" t="s">
        <v>180</v>
      </c>
      <c r="J284" s="156" t="str">
        <f t="shared" si="8"/>
        <v>CopperRuiyilu Simple Resources Co., Ltd./ Luilu (Kolwezi)</v>
      </c>
      <c r="K284" s="156" t="str">
        <f t="shared" si="9"/>
        <v>CopperRuiyilu Simple Resources Co., Ltd./ Luilu (Kolwezi)</v>
      </c>
    </row>
    <row r="285" spans="1:11">
      <c r="A285" s="156" t="s">
        <v>18684</v>
      </c>
      <c r="B285" s="156" t="s">
        <v>19320</v>
      </c>
      <c r="C285" s="156" t="s">
        <v>19320</v>
      </c>
      <c r="D285" s="156" t="s">
        <v>300</v>
      </c>
      <c r="E285" s="156" t="s">
        <v>18804</v>
      </c>
      <c r="F285" s="157" t="s">
        <v>12</v>
      </c>
      <c r="H285" s="284" t="s">
        <v>19320</v>
      </c>
      <c r="I285" s="284" t="s">
        <v>11585</v>
      </c>
      <c r="J285" s="156" t="str">
        <f t="shared" si="8"/>
        <v>CopperSafford</v>
      </c>
      <c r="K285" s="156" t="str">
        <f t="shared" si="9"/>
        <v>CopperSafford</v>
      </c>
    </row>
    <row r="286" spans="1:11">
      <c r="A286" s="156" t="s">
        <v>18684</v>
      </c>
      <c r="B286" s="156" t="s">
        <v>18803</v>
      </c>
      <c r="C286" s="156" t="s">
        <v>19320</v>
      </c>
      <c r="D286" s="156" t="s">
        <v>300</v>
      </c>
      <c r="E286" s="156" t="s">
        <v>18804</v>
      </c>
      <c r="F286" s="157" t="s">
        <v>12</v>
      </c>
      <c r="H286" s="284" t="s">
        <v>19320</v>
      </c>
      <c r="I286" s="284" t="s">
        <v>11585</v>
      </c>
      <c r="J286" s="156" t="str">
        <f t="shared" si="8"/>
        <v>CopperSafford &amp; Lone Star</v>
      </c>
      <c r="K286" s="156" t="str">
        <f t="shared" si="9"/>
        <v>CopperSafford &amp; Lone Star</v>
      </c>
    </row>
    <row r="287" spans="1:11">
      <c r="A287" s="156" t="s">
        <v>18684</v>
      </c>
      <c r="B287" s="156" t="s">
        <v>18805</v>
      </c>
      <c r="C287" s="156" t="s">
        <v>18806</v>
      </c>
      <c r="D287" s="156" t="s">
        <v>133</v>
      </c>
      <c r="E287" s="156" t="s">
        <v>18807</v>
      </c>
      <c r="F287" s="157" t="s">
        <v>12</v>
      </c>
      <c r="H287" s="284" t="s">
        <v>19228</v>
      </c>
      <c r="I287" s="284" t="s">
        <v>6142</v>
      </c>
      <c r="J287" s="156" t="str">
        <f t="shared" si="8"/>
        <v>CopperSaganoseki</v>
      </c>
      <c r="K287" s="156" t="str">
        <f t="shared" si="9"/>
        <v>CopperSaganoseki</v>
      </c>
    </row>
    <row r="288" spans="1:11">
      <c r="A288" s="156" t="s">
        <v>18684</v>
      </c>
      <c r="B288" s="156" t="s">
        <v>18806</v>
      </c>
      <c r="C288" s="156" t="s">
        <v>18806</v>
      </c>
      <c r="D288" s="156" t="s">
        <v>133</v>
      </c>
      <c r="E288" s="156" t="s">
        <v>18807</v>
      </c>
      <c r="F288" s="157" t="s">
        <v>12</v>
      </c>
      <c r="H288" s="284" t="s">
        <v>19228</v>
      </c>
      <c r="I288" s="284" t="s">
        <v>6142</v>
      </c>
      <c r="J288" s="156" t="str">
        <f t="shared" si="8"/>
        <v>CopperSaganoseki Smelter &amp; Refinery</v>
      </c>
      <c r="K288" s="156" t="str">
        <f t="shared" si="9"/>
        <v>CopperSaganoseki Smelter &amp; Refinery</v>
      </c>
    </row>
    <row r="289" spans="1:11">
      <c r="A289" s="156" t="s">
        <v>18684</v>
      </c>
      <c r="B289" s="156" t="s">
        <v>18808</v>
      </c>
      <c r="C289" s="156" t="s">
        <v>20045</v>
      </c>
      <c r="D289" s="156" t="s">
        <v>1428</v>
      </c>
      <c r="E289" s="156" t="s">
        <v>18809</v>
      </c>
      <c r="F289" s="157" t="s">
        <v>12</v>
      </c>
      <c r="H289" s="284" t="s">
        <v>19321</v>
      </c>
      <c r="I289" s="284" t="s">
        <v>3158</v>
      </c>
      <c r="J289" s="156" t="str">
        <f t="shared" si="8"/>
        <v>CopperSalvador</v>
      </c>
      <c r="K289" s="156" t="str">
        <f t="shared" si="9"/>
        <v>CopperSalvador</v>
      </c>
    </row>
    <row r="290" spans="1:11">
      <c r="A290" s="156" t="s">
        <v>18684</v>
      </c>
      <c r="B290" s="156" t="s">
        <v>18810</v>
      </c>
      <c r="C290" s="156" t="s">
        <v>18810</v>
      </c>
      <c r="D290" s="156" t="s">
        <v>300</v>
      </c>
      <c r="E290" s="156" t="s">
        <v>18811</v>
      </c>
      <c r="F290" s="157" t="s">
        <v>12</v>
      </c>
      <c r="H290" s="284" t="s">
        <v>19322</v>
      </c>
      <c r="I290" s="284" t="s">
        <v>11585</v>
      </c>
      <c r="J290" s="156" t="str">
        <f t="shared" si="8"/>
        <v>CopperSierrita</v>
      </c>
      <c r="K290" s="156" t="str">
        <f t="shared" si="9"/>
        <v>CopperSierrita</v>
      </c>
    </row>
    <row r="291" spans="1:11">
      <c r="A291" s="156" t="s">
        <v>18684</v>
      </c>
      <c r="B291" s="156" t="s">
        <v>12318</v>
      </c>
      <c r="C291" s="156" t="s">
        <v>12303</v>
      </c>
      <c r="D291" s="156" t="s">
        <v>60</v>
      </c>
      <c r="E291" s="156" t="s">
        <v>18770</v>
      </c>
      <c r="F291" s="157" t="s">
        <v>12</v>
      </c>
      <c r="H291" s="284" t="s">
        <v>12304</v>
      </c>
      <c r="I291" s="284" t="s">
        <v>180</v>
      </c>
      <c r="J291" s="156" t="str">
        <f t="shared" si="8"/>
        <v>CopperSimple Resources Co., Ltd.</v>
      </c>
      <c r="K291" s="156" t="str">
        <f t="shared" si="9"/>
        <v>CopperSimple Resources Co., Ltd.</v>
      </c>
    </row>
    <row r="292" spans="1:11">
      <c r="A292" s="156" t="s">
        <v>18684</v>
      </c>
      <c r="B292" s="156" t="s">
        <v>18717</v>
      </c>
      <c r="C292" s="156" t="s">
        <v>18717</v>
      </c>
      <c r="D292" s="156" t="s">
        <v>1677</v>
      </c>
      <c r="E292" s="156" t="s">
        <v>18718</v>
      </c>
      <c r="F292" s="157" t="s">
        <v>12</v>
      </c>
      <c r="H292" s="284" t="s">
        <v>8762</v>
      </c>
      <c r="I292" s="284" t="s">
        <v>8762</v>
      </c>
      <c r="J292" s="156" t="str">
        <f t="shared" si="8"/>
        <v>CopperSociedad Minera Cerro Verde S.A.A.</v>
      </c>
      <c r="K292" s="156" t="str">
        <f t="shared" si="9"/>
        <v>CopperSociedad Minera Cerro Verde S.A.A.</v>
      </c>
    </row>
    <row r="293" spans="1:11">
      <c r="A293" s="156" t="s">
        <v>18684</v>
      </c>
      <c r="B293" s="156" t="s">
        <v>12319</v>
      </c>
      <c r="C293" s="156" t="s">
        <v>12319</v>
      </c>
      <c r="D293" s="156" t="s">
        <v>60</v>
      </c>
      <c r="E293" s="156" t="s">
        <v>18812</v>
      </c>
      <c r="F293" s="157" t="s">
        <v>12</v>
      </c>
      <c r="H293" s="284" t="s">
        <v>12321</v>
      </c>
      <c r="I293" s="284" t="s">
        <v>63</v>
      </c>
      <c r="J293" s="156" t="str">
        <f t="shared" si="8"/>
        <v>CopperSOCIETE MINIERE DU KATANGA (Lupoto Plant)</v>
      </c>
      <c r="K293" s="156" t="str">
        <f t="shared" si="9"/>
        <v>CopperSOCIETE MINIERE DU KATANGA (Lupoto Plant)</v>
      </c>
    </row>
    <row r="294" spans="1:11">
      <c r="A294" s="156" t="s">
        <v>18684</v>
      </c>
      <c r="B294" s="156" t="s">
        <v>258</v>
      </c>
      <c r="C294" s="156" t="s">
        <v>258</v>
      </c>
      <c r="D294" s="156" t="s">
        <v>60</v>
      </c>
      <c r="E294" s="156" t="s">
        <v>18813</v>
      </c>
      <c r="F294" s="157" t="s">
        <v>12</v>
      </c>
      <c r="H294" s="284" t="s">
        <v>62</v>
      </c>
      <c r="I294" s="284" t="s">
        <v>63</v>
      </c>
      <c r="J294" s="156" t="str">
        <f t="shared" si="8"/>
        <v>CopperSociete pour le Traitment du Terril de Lubumbashi (STL)</v>
      </c>
      <c r="K294" s="156" t="str">
        <f t="shared" si="9"/>
        <v>CopperSociete pour le Traitment du Terril de Lubumbashi (STL)</v>
      </c>
    </row>
    <row r="295" spans="1:11">
      <c r="A295" s="156" t="s">
        <v>18684</v>
      </c>
      <c r="B295" s="156" t="s">
        <v>20065</v>
      </c>
      <c r="C295" s="156" t="s">
        <v>20062</v>
      </c>
      <c r="D295" s="156" t="s">
        <v>1428</v>
      </c>
      <c r="E295" s="156" t="s">
        <v>20063</v>
      </c>
      <c r="F295" s="157" t="s">
        <v>12</v>
      </c>
      <c r="H295" s="284" t="s">
        <v>19306</v>
      </c>
      <c r="I295" s="284" t="s">
        <v>3152</v>
      </c>
      <c r="J295" s="156" t="str">
        <f t="shared" si="8"/>
        <v>CopperSpence</v>
      </c>
      <c r="K295" s="156" t="str">
        <f t="shared" si="9"/>
        <v>CopperSpence</v>
      </c>
    </row>
    <row r="296" spans="1:11">
      <c r="A296" s="156" t="s">
        <v>18684</v>
      </c>
      <c r="B296" s="156" t="s">
        <v>266</v>
      </c>
      <c r="C296" s="156" t="s">
        <v>12094</v>
      </c>
      <c r="D296" s="156" t="s">
        <v>60</v>
      </c>
      <c r="E296" s="156" t="s">
        <v>18814</v>
      </c>
      <c r="F296" s="157" t="s">
        <v>12</v>
      </c>
      <c r="H296" s="284" t="s">
        <v>19218</v>
      </c>
      <c r="I296" s="284" t="s">
        <v>180</v>
      </c>
      <c r="J296" s="156" t="str">
        <f t="shared" si="8"/>
        <v>CopperTenke Fungurume</v>
      </c>
      <c r="K296" s="156" t="str">
        <f t="shared" si="9"/>
        <v>CopperTenke Fungurume</v>
      </c>
    </row>
    <row r="297" spans="1:11">
      <c r="A297" s="156" t="s">
        <v>18684</v>
      </c>
      <c r="B297" s="156" t="s">
        <v>12094</v>
      </c>
      <c r="C297" s="156" t="s">
        <v>12094</v>
      </c>
      <c r="D297" s="156" t="s">
        <v>60</v>
      </c>
      <c r="E297" s="156" t="s">
        <v>18814</v>
      </c>
      <c r="F297" s="157" t="s">
        <v>12</v>
      </c>
      <c r="H297" s="284" t="s">
        <v>19218</v>
      </c>
      <c r="I297" s="284" t="s">
        <v>180</v>
      </c>
      <c r="J297" s="156" t="str">
        <f t="shared" si="8"/>
        <v>CopperTenke Fungurume Mining SA</v>
      </c>
      <c r="K297" s="156" t="str">
        <f t="shared" si="9"/>
        <v>CopperTenke Fungurume Mining SA</v>
      </c>
    </row>
    <row r="298" spans="1:11">
      <c r="A298" s="156" t="s">
        <v>18684</v>
      </c>
      <c r="B298" s="156" t="s">
        <v>20066</v>
      </c>
      <c r="C298" s="156" t="s">
        <v>20067</v>
      </c>
      <c r="D298" s="156" t="s">
        <v>65</v>
      </c>
      <c r="E298" s="156" t="s">
        <v>20068</v>
      </c>
      <c r="F298" s="157" t="s">
        <v>12</v>
      </c>
      <c r="H298" s="284" t="s">
        <v>20069</v>
      </c>
      <c r="I298" s="284" t="s">
        <v>20070</v>
      </c>
      <c r="J298" s="156" t="str">
        <f t="shared" si="8"/>
        <v>CopperTongling (Jinguan) Nonferrous Jinguan Copper Industry</v>
      </c>
      <c r="K298" s="156" t="str">
        <f t="shared" si="9"/>
        <v>CopperTongling (Jinguan) Nonferrous Jinguan Copper Industry</v>
      </c>
    </row>
    <row r="299" spans="1:11">
      <c r="A299" s="156" t="s">
        <v>18684</v>
      </c>
      <c r="B299" s="156" t="s">
        <v>20067</v>
      </c>
      <c r="C299" s="156" t="s">
        <v>20067</v>
      </c>
      <c r="D299" s="156" t="s">
        <v>65</v>
      </c>
      <c r="E299" s="156" t="s">
        <v>20068</v>
      </c>
      <c r="F299" s="157" t="s">
        <v>12</v>
      </c>
      <c r="H299" s="284" t="s">
        <v>20069</v>
      </c>
      <c r="I299" s="284" t="s">
        <v>20070</v>
      </c>
      <c r="J299" s="156" t="str">
        <f t="shared" si="8"/>
        <v>CopperTongling Nonferrous Jinguan (Ausmelt) Copper Industry</v>
      </c>
      <c r="K299" s="156" t="str">
        <f t="shared" si="9"/>
        <v>CopperTongling Nonferrous Jinguan (Ausmelt) Copper Industry</v>
      </c>
    </row>
    <row r="300" spans="1:11">
      <c r="A300" s="156" t="s">
        <v>18684</v>
      </c>
      <c r="B300" s="156" t="s">
        <v>18815</v>
      </c>
      <c r="C300" s="156" t="s">
        <v>18816</v>
      </c>
      <c r="D300" s="156" t="s">
        <v>133</v>
      </c>
      <c r="E300" s="156" t="s">
        <v>18817</v>
      </c>
      <c r="F300" s="157" t="s">
        <v>12</v>
      </c>
      <c r="H300" s="284" t="s">
        <v>19229</v>
      </c>
      <c r="I300" s="284" t="s">
        <v>234</v>
      </c>
      <c r="J300" s="156" t="str">
        <f t="shared" si="8"/>
        <v>CopperToyo</v>
      </c>
      <c r="K300" s="156" t="str">
        <f t="shared" si="9"/>
        <v>CopperToyo</v>
      </c>
    </row>
    <row r="301" spans="1:11">
      <c r="A301" s="156" t="s">
        <v>18684</v>
      </c>
      <c r="B301" s="156" t="s">
        <v>18816</v>
      </c>
      <c r="C301" s="156" t="s">
        <v>18816</v>
      </c>
      <c r="D301" s="156" t="s">
        <v>133</v>
      </c>
      <c r="E301" s="156" t="s">
        <v>18817</v>
      </c>
      <c r="F301" s="157" t="s">
        <v>12</v>
      </c>
      <c r="H301" s="284" t="s">
        <v>19229</v>
      </c>
      <c r="I301" s="284" t="s">
        <v>234</v>
      </c>
      <c r="J301" s="156" t="str">
        <f t="shared" si="8"/>
        <v>CopperToyo Smelter &amp; Refinery, Sumitomo Metal Mining</v>
      </c>
      <c r="K301" s="156" t="str">
        <f t="shared" si="9"/>
        <v>CopperToyo Smelter &amp; Refinery, Sumitomo Metal Mining</v>
      </c>
    </row>
    <row r="302" spans="1:11">
      <c r="A302" s="156" t="s">
        <v>18684</v>
      </c>
      <c r="B302" s="156" t="s">
        <v>19323</v>
      </c>
      <c r="C302" s="156" t="s">
        <v>19323</v>
      </c>
      <c r="D302" s="156" t="s">
        <v>300</v>
      </c>
      <c r="E302" s="156" t="s">
        <v>18819</v>
      </c>
      <c r="F302" s="157" t="s">
        <v>12</v>
      </c>
      <c r="H302" s="284" t="s">
        <v>19323</v>
      </c>
      <c r="I302" s="284" t="s">
        <v>11634</v>
      </c>
      <c r="J302" s="156" t="str">
        <f t="shared" si="8"/>
        <v>CopperTyrone</v>
      </c>
      <c r="K302" s="156" t="str">
        <f t="shared" si="9"/>
        <v>CopperTyrone</v>
      </c>
    </row>
    <row r="303" spans="1:11">
      <c r="A303" s="156" t="s">
        <v>18684</v>
      </c>
      <c r="B303" s="156" t="s">
        <v>18818</v>
      </c>
      <c r="C303" s="156" t="s">
        <v>19323</v>
      </c>
      <c r="D303" s="156" t="s">
        <v>300</v>
      </c>
      <c r="E303" s="156" t="s">
        <v>18819</v>
      </c>
      <c r="F303" s="157" t="s">
        <v>12</v>
      </c>
      <c r="H303" s="284" t="s">
        <v>19323</v>
      </c>
      <c r="I303" s="284" t="s">
        <v>11634</v>
      </c>
      <c r="J303" s="156" t="str">
        <f t="shared" si="8"/>
        <v>CopperTyrone Leach</v>
      </c>
      <c r="K303" s="156" t="str">
        <f t="shared" si="9"/>
        <v>CopperTyrone Leach</v>
      </c>
    </row>
    <row r="304" spans="1:11">
      <c r="A304" s="156" t="s">
        <v>18684</v>
      </c>
      <c r="B304" s="156" t="s">
        <v>20057</v>
      </c>
      <c r="C304" s="156" t="s">
        <v>20057</v>
      </c>
      <c r="D304" s="156" t="s">
        <v>1620</v>
      </c>
      <c r="E304" s="156" t="s">
        <v>18761</v>
      </c>
      <c r="F304" s="157" t="s">
        <v>12</v>
      </c>
      <c r="H304" s="284" t="s">
        <v>19312</v>
      </c>
      <c r="I304" s="284" t="s">
        <v>8293</v>
      </c>
      <c r="J304" s="156" t="str">
        <f t="shared" si="8"/>
        <v>CopperUnidad La Caridad</v>
      </c>
      <c r="K304" s="156" t="str">
        <f t="shared" si="9"/>
        <v>CopperUnidad La Caridad</v>
      </c>
    </row>
    <row r="305" spans="1:11">
      <c r="A305" s="156" t="s">
        <v>18684</v>
      </c>
      <c r="B305" s="156" t="s">
        <v>18820</v>
      </c>
      <c r="C305" s="156" t="s">
        <v>18820</v>
      </c>
      <c r="D305" s="156" t="s">
        <v>95</v>
      </c>
      <c r="E305" s="156" t="s">
        <v>18821</v>
      </c>
      <c r="F305" s="157" t="s">
        <v>12</v>
      </c>
      <c r="H305" s="284" t="s">
        <v>19324</v>
      </c>
      <c r="I305" s="284" t="s">
        <v>98</v>
      </c>
      <c r="J305" s="156" t="str">
        <f t="shared" si="8"/>
        <v>CopperVale Copper Cliff Nickel Refinery</v>
      </c>
      <c r="K305" s="156" t="str">
        <f t="shared" si="9"/>
        <v>CopperVale Copper Cliff Nickel Refinery</v>
      </c>
    </row>
    <row r="306" spans="1:11">
      <c r="A306" s="156" t="s">
        <v>18684</v>
      </c>
      <c r="B306" s="156" t="s">
        <v>18822</v>
      </c>
      <c r="C306" s="156" t="s">
        <v>18823</v>
      </c>
      <c r="D306" s="156" t="s">
        <v>305</v>
      </c>
      <c r="E306" s="156" t="s">
        <v>18824</v>
      </c>
      <c r="F306" s="157" t="s">
        <v>12</v>
      </c>
      <c r="H306" s="284" t="s">
        <v>19325</v>
      </c>
      <c r="I306" s="284" t="s">
        <v>12252</v>
      </c>
      <c r="J306" s="156" t="str">
        <f t="shared" si="8"/>
        <v>CopperVedanta Limited - Sterlite Copper</v>
      </c>
      <c r="K306" s="156" t="str">
        <f t="shared" si="9"/>
        <v>CopperVedanta Limited - Sterlite Copper</v>
      </c>
    </row>
    <row r="307" spans="1:11">
      <c r="A307" s="156" t="s">
        <v>18684</v>
      </c>
      <c r="B307" s="156" t="s">
        <v>18823</v>
      </c>
      <c r="C307" s="156" t="s">
        <v>18823</v>
      </c>
      <c r="D307" s="156" t="s">
        <v>305</v>
      </c>
      <c r="E307" s="156" t="s">
        <v>18824</v>
      </c>
      <c r="F307" s="157" t="s">
        <v>12</v>
      </c>
      <c r="H307" s="284" t="s">
        <v>19325</v>
      </c>
      <c r="I307" s="284" t="s">
        <v>12252</v>
      </c>
      <c r="J307" s="156" t="str">
        <f t="shared" si="8"/>
        <v>CopperVedanta Limited-Sterlite Copper</v>
      </c>
      <c r="K307" s="156" t="str">
        <f t="shared" si="9"/>
        <v>CopperVedanta Limited-Sterlite Copper</v>
      </c>
    </row>
    <row r="308" spans="1:11">
      <c r="A308" s="156" t="s">
        <v>18684</v>
      </c>
      <c r="B308" s="156" t="s">
        <v>20071</v>
      </c>
      <c r="C308" s="156" t="s">
        <v>20072</v>
      </c>
      <c r="D308" s="156" t="s">
        <v>81</v>
      </c>
      <c r="E308" s="156" t="s">
        <v>20073</v>
      </c>
      <c r="F308" s="157" t="s">
        <v>12</v>
      </c>
      <c r="H308" s="284" t="s">
        <v>20074</v>
      </c>
      <c r="I308" s="284" t="s">
        <v>6465</v>
      </c>
      <c r="J308" s="156" t="str">
        <f t="shared" si="8"/>
        <v>CopperYoung Poong Seokpo Smelter</v>
      </c>
      <c r="K308" s="156" t="str">
        <f t="shared" si="9"/>
        <v>CopperYoung Poong Seokpo Smelter</v>
      </c>
    </row>
    <row r="309" spans="1:11">
      <c r="A309" s="156" t="s">
        <v>18684</v>
      </c>
      <c r="B309" s="156" t="s">
        <v>20072</v>
      </c>
      <c r="C309" s="156" t="s">
        <v>20072</v>
      </c>
      <c r="D309" s="156" t="s">
        <v>81</v>
      </c>
      <c r="E309" s="156" t="s">
        <v>20073</v>
      </c>
      <c r="F309" s="157" t="s">
        <v>12</v>
      </c>
      <c r="H309" s="284" t="s">
        <v>20074</v>
      </c>
      <c r="I309" s="284" t="s">
        <v>6465</v>
      </c>
      <c r="J309" s="156" t="str">
        <f t="shared" si="8"/>
        <v>CopperYoung Poong Sukpo Smelter</v>
      </c>
      <c r="K309" s="156" t="str">
        <f t="shared" si="9"/>
        <v>CopperYoung Poong Sukpo Smelter</v>
      </c>
    </row>
    <row r="310" spans="1:11">
      <c r="A310" s="156" t="s">
        <v>18684</v>
      </c>
      <c r="B310" s="156" t="s">
        <v>20075</v>
      </c>
      <c r="C310" s="156" t="s">
        <v>20076</v>
      </c>
      <c r="D310" s="156" t="s">
        <v>65</v>
      </c>
      <c r="E310" s="156" t="s">
        <v>20077</v>
      </c>
      <c r="F310" s="157" t="s">
        <v>12</v>
      </c>
      <c r="H310" s="284" t="s">
        <v>20078</v>
      </c>
      <c r="I310" s="284" t="s">
        <v>20079</v>
      </c>
      <c r="J310" s="156" t="str">
        <f t="shared" si="8"/>
        <v>CopperYunnan Copper Industry Co., Ltd.</v>
      </c>
      <c r="K310" s="156" t="str">
        <f t="shared" si="9"/>
        <v>CopperYunnan Copper Industry Co., Ltd.</v>
      </c>
    </row>
    <row r="311" spans="1:11">
      <c r="A311" s="156" t="s">
        <v>18684</v>
      </c>
      <c r="B311" s="156" t="s">
        <v>20076</v>
      </c>
      <c r="C311" s="156" t="s">
        <v>20076</v>
      </c>
      <c r="D311" s="156" t="s">
        <v>65</v>
      </c>
      <c r="E311" s="156" t="s">
        <v>20077</v>
      </c>
      <c r="F311" s="157" t="s">
        <v>12</v>
      </c>
      <c r="H311" s="284" t="s">
        <v>20078</v>
      </c>
      <c r="I311" s="284" t="s">
        <v>20079</v>
      </c>
      <c r="J311" s="156" t="str">
        <f t="shared" si="8"/>
        <v>CopperYunnan Copper Southwest Copper Branch</v>
      </c>
      <c r="K311" s="156" t="str">
        <f t="shared" si="9"/>
        <v>CopperYunnan Copper Southwest Copper Branch</v>
      </c>
    </row>
    <row r="312" spans="1:11">
      <c r="A312" s="156" t="s">
        <v>18684</v>
      </c>
      <c r="B312" s="156" t="s">
        <v>20024</v>
      </c>
      <c r="C312" s="156" t="s">
        <v>20024</v>
      </c>
      <c r="D312" s="156" t="s">
        <v>1820</v>
      </c>
      <c r="E312" s="156" t="s">
        <v>20080</v>
      </c>
      <c r="F312" s="157" t="s">
        <v>12</v>
      </c>
      <c r="H312" s="284" t="s">
        <v>20026</v>
      </c>
      <c r="I312" s="284" t="s">
        <v>12077</v>
      </c>
      <c r="J312" s="156" t="str">
        <f t="shared" si="8"/>
        <v>CopperZimbabwe Platinum Mines Private Limited</v>
      </c>
      <c r="K312" s="156" t="str">
        <f t="shared" si="9"/>
        <v>CopperZimbabwe Platinum Mines Private Limited</v>
      </c>
    </row>
    <row r="313" spans="1:11">
      <c r="A313" s="156" t="s">
        <v>18684</v>
      </c>
      <c r="B313" s="156" t="s">
        <v>20027</v>
      </c>
      <c r="C313" s="156" t="s">
        <v>20024</v>
      </c>
      <c r="D313" s="156" t="s">
        <v>1820</v>
      </c>
      <c r="E313" s="156" t="s">
        <v>20080</v>
      </c>
      <c r="F313" s="157" t="s">
        <v>12</v>
      </c>
      <c r="H313" s="284" t="s">
        <v>20026</v>
      </c>
      <c r="I313" s="284" t="s">
        <v>12077</v>
      </c>
      <c r="J313" s="156" t="str">
        <f t="shared" si="8"/>
        <v>CopperZIMPLATS</v>
      </c>
      <c r="K313" s="156" t="str">
        <f t="shared" si="9"/>
        <v>CopperZIMPLATS</v>
      </c>
    </row>
    <row r="314" spans="1:11">
      <c r="A314" s="156" t="s">
        <v>18684</v>
      </c>
      <c r="B314" s="156" t="s">
        <v>298</v>
      </c>
      <c r="H314" s="284"/>
      <c r="I314" s="284"/>
      <c r="J314" s="156" t="str">
        <f t="shared" si="8"/>
        <v>CopperSmelter not listed</v>
      </c>
      <c r="K314" s="156" t="str">
        <f t="shared" si="9"/>
        <v>CopperSmelter not listed</v>
      </c>
    </row>
    <row r="315" spans="1:11">
      <c r="A315" s="156" t="s">
        <v>18684</v>
      </c>
      <c r="B315" s="156" t="s">
        <v>45</v>
      </c>
      <c r="C315" s="156" t="s">
        <v>26</v>
      </c>
      <c r="H315" s="284"/>
      <c r="I315" s="284"/>
      <c r="J315" s="156" t="str">
        <f t="shared" si="8"/>
        <v>CopperSmelter not yet identified</v>
      </c>
      <c r="K315" s="156" t="str">
        <f t="shared" si="9"/>
        <v>CopperSmelter not yet identified</v>
      </c>
    </row>
    <row r="316" spans="1:11">
      <c r="A316" s="156" t="s">
        <v>18686</v>
      </c>
      <c r="B316" s="156" t="s">
        <v>298</v>
      </c>
      <c r="H316" s="284"/>
      <c r="I316" s="284"/>
      <c r="J316" s="156" t="str">
        <f t="shared" ref="J316:J317" si="10">A316&amp;B316</f>
        <v>GraphiteSmelter not listed</v>
      </c>
      <c r="K316" s="156" t="str">
        <f t="shared" ref="K316:K317" si="11">A316&amp;B316</f>
        <v>GraphiteSmelter not listed</v>
      </c>
    </row>
    <row r="317" spans="1:11">
      <c r="A317" s="156" t="s">
        <v>18686</v>
      </c>
      <c r="B317" s="156" t="s">
        <v>45</v>
      </c>
      <c r="C317" s="156" t="s">
        <v>26</v>
      </c>
      <c r="H317" s="284"/>
      <c r="I317" s="284"/>
      <c r="J317" s="156" t="str">
        <f t="shared" si="10"/>
        <v>GraphiteSmelter not yet identified</v>
      </c>
      <c r="K317" s="156" t="str">
        <f t="shared" si="11"/>
        <v>GraphiteSmelter not yet identified</v>
      </c>
    </row>
    <row r="318" spans="1:11">
      <c r="A318" s="156" t="s">
        <v>18687</v>
      </c>
      <c r="B318" s="156" t="s">
        <v>18825</v>
      </c>
      <c r="C318" s="156" t="s">
        <v>18826</v>
      </c>
      <c r="D318" s="156" t="s">
        <v>65</v>
      </c>
      <c r="E318" s="156" t="s">
        <v>18827</v>
      </c>
      <c r="F318" s="157" t="s">
        <v>12</v>
      </c>
      <c r="H318" s="284" t="s">
        <v>19235</v>
      </c>
      <c r="I318" s="284" t="s">
        <v>3224</v>
      </c>
      <c r="J318" s="156" t="str">
        <f t="shared" si="8"/>
        <v>LithiumAbazhou Gaoyuan Lithium Battery Material Co., Ltd.</v>
      </c>
      <c r="K318" s="156" t="str">
        <f t="shared" si="9"/>
        <v>LithiumAbazhou Gaoyuan Lithium Battery Material Co., Ltd.</v>
      </c>
    </row>
    <row r="319" spans="1:11">
      <c r="A319" s="156" t="s">
        <v>18687</v>
      </c>
      <c r="B319" s="156" t="s">
        <v>18826</v>
      </c>
      <c r="C319" s="156" t="s">
        <v>18826</v>
      </c>
      <c r="D319" s="156" t="s">
        <v>65</v>
      </c>
      <c r="E319" s="156" t="s">
        <v>18827</v>
      </c>
      <c r="F319" s="157" t="s">
        <v>12</v>
      </c>
      <c r="H319" s="284" t="s">
        <v>19235</v>
      </c>
      <c r="I319" s="284" t="s">
        <v>3224</v>
      </c>
      <c r="J319" s="156" t="str">
        <f t="shared" si="8"/>
        <v>LithiumAbazhou Gaoyuan Lithium Electric Material Co., Ltd.</v>
      </c>
      <c r="K319" s="156" t="str">
        <f t="shared" si="9"/>
        <v>LithiumAbazhou Gaoyuan Lithium Electric Material Co., Ltd.</v>
      </c>
    </row>
    <row r="320" spans="1:11">
      <c r="A320" s="156" t="s">
        <v>18687</v>
      </c>
      <c r="B320" s="156" t="s">
        <v>18828</v>
      </c>
      <c r="C320" s="156" t="s">
        <v>18828</v>
      </c>
      <c r="D320" s="156" t="s">
        <v>1503</v>
      </c>
      <c r="E320" s="156" t="s">
        <v>18829</v>
      </c>
      <c r="F320" s="157" t="s">
        <v>12</v>
      </c>
      <c r="H320" s="284" t="s">
        <v>19236</v>
      </c>
      <c r="I320" s="284" t="s">
        <v>3624</v>
      </c>
      <c r="J320" s="156" t="str">
        <f t="shared" si="8"/>
        <v>LithiumAlbemarle - Langelsheim Site</v>
      </c>
      <c r="K320" s="156" t="str">
        <f t="shared" si="9"/>
        <v>LithiumAlbemarle - Langelsheim Site</v>
      </c>
    </row>
    <row r="321" spans="1:11">
      <c r="A321" s="156" t="s">
        <v>18687</v>
      </c>
      <c r="B321" s="156" t="s">
        <v>18830</v>
      </c>
      <c r="C321" s="156" t="s">
        <v>18830</v>
      </c>
      <c r="D321" s="156" t="s">
        <v>300</v>
      </c>
      <c r="E321" s="156" t="s">
        <v>18831</v>
      </c>
      <c r="F321" s="157" t="s">
        <v>12</v>
      </c>
      <c r="H321" s="284" t="s">
        <v>19237</v>
      </c>
      <c r="I321" s="284" t="s">
        <v>11636</v>
      </c>
      <c r="J321" s="156" t="str">
        <f t="shared" si="8"/>
        <v>LithiumAlbemarle - Silver Peak Site</v>
      </c>
      <c r="K321" s="156" t="str">
        <f t="shared" si="9"/>
        <v>LithiumAlbemarle - Silver Peak Site</v>
      </c>
    </row>
    <row r="322" spans="1:11">
      <c r="A322" s="156" t="s">
        <v>18687</v>
      </c>
      <c r="B322" s="156" t="s">
        <v>19230</v>
      </c>
      <c r="C322" s="156" t="s">
        <v>19231</v>
      </c>
      <c r="D322" s="156" t="s">
        <v>1428</v>
      </c>
      <c r="E322" s="156" t="s">
        <v>19232</v>
      </c>
      <c r="F322" s="157" t="s">
        <v>12</v>
      </c>
      <c r="H322" s="284" t="s">
        <v>3152</v>
      </c>
      <c r="I322" s="284" t="s">
        <v>3152</v>
      </c>
      <c r="J322" s="156" t="str">
        <f t="shared" si="8"/>
        <v>LithiumAlbemarle (La Negra)</v>
      </c>
      <c r="K322" s="156" t="str">
        <f t="shared" si="9"/>
        <v>LithiumAlbemarle (La Negra)</v>
      </c>
    </row>
    <row r="323" spans="1:11">
      <c r="A323" s="156" t="s">
        <v>18687</v>
      </c>
      <c r="B323" s="156" t="s">
        <v>18832</v>
      </c>
      <c r="C323" s="156" t="s">
        <v>18832</v>
      </c>
      <c r="D323" s="156" t="s">
        <v>65</v>
      </c>
      <c r="E323" s="156" t="s">
        <v>18833</v>
      </c>
      <c r="F323" s="157" t="s">
        <v>12</v>
      </c>
      <c r="H323" s="284" t="s">
        <v>12317</v>
      </c>
      <c r="I323" s="284" t="s">
        <v>3224</v>
      </c>
      <c r="J323" s="156" t="str">
        <f t="shared" si="8"/>
        <v>LithiumAlbemarle Sichuan New Material Co. Ltd. (Meishan)</v>
      </c>
      <c r="K323" s="156" t="str">
        <f t="shared" si="9"/>
        <v>LithiumAlbemarle Sichuan New Material Co. Ltd. (Meishan)</v>
      </c>
    </row>
    <row r="324" spans="1:11">
      <c r="A324" s="156" t="s">
        <v>18687</v>
      </c>
      <c r="B324" s="156" t="s">
        <v>18834</v>
      </c>
      <c r="C324" s="156" t="s">
        <v>18834</v>
      </c>
      <c r="D324" s="156" t="s">
        <v>300</v>
      </c>
      <c r="E324" s="156" t="s">
        <v>18835</v>
      </c>
      <c r="F324" s="157" t="s">
        <v>12</v>
      </c>
      <c r="H324" s="284" t="s">
        <v>19326</v>
      </c>
      <c r="I324" s="284" t="s">
        <v>322</v>
      </c>
      <c r="J324" s="156" t="str">
        <f t="shared" si="8"/>
        <v>LithiumArcadium Lithium (Bessemer City)</v>
      </c>
      <c r="K324" s="156" t="str">
        <f t="shared" si="9"/>
        <v>LithiumArcadium Lithium (Bessemer City)</v>
      </c>
    </row>
    <row r="325" spans="1:11">
      <c r="A325" s="156" t="s">
        <v>18687</v>
      </c>
      <c r="B325" s="156" t="s">
        <v>18836</v>
      </c>
      <c r="C325" s="156" t="s">
        <v>18836</v>
      </c>
      <c r="D325" s="156" t="s">
        <v>1364</v>
      </c>
      <c r="E325" s="156" t="s">
        <v>18837</v>
      </c>
      <c r="F325" s="157" t="s">
        <v>12</v>
      </c>
      <c r="H325" s="284" t="s">
        <v>19327</v>
      </c>
      <c r="I325" s="284" t="s">
        <v>2029</v>
      </c>
      <c r="J325" s="156" t="str">
        <f t="shared" si="8"/>
        <v>LithiumArcadium Lithium (Fenix)</v>
      </c>
      <c r="K325" s="156" t="str">
        <f t="shared" si="9"/>
        <v>LithiumArcadium Lithium (Fenix)</v>
      </c>
    </row>
    <row r="326" spans="1:11">
      <c r="A326" s="156" t="s">
        <v>18687</v>
      </c>
      <c r="B326" s="156" t="s">
        <v>12271</v>
      </c>
      <c r="C326" s="156" t="s">
        <v>12271</v>
      </c>
      <c r="D326" s="156" t="s">
        <v>305</v>
      </c>
      <c r="E326" s="156" t="s">
        <v>18838</v>
      </c>
      <c r="F326" s="157" t="s">
        <v>12</v>
      </c>
      <c r="H326" s="284" t="s">
        <v>12273</v>
      </c>
      <c r="I326" s="284" t="s">
        <v>12268</v>
      </c>
      <c r="J326" s="156" t="str">
        <f t="shared" si="8"/>
        <v>LithiumAttero Recycling Pvt Ltd</v>
      </c>
      <c r="K326" s="156" t="str">
        <f t="shared" si="9"/>
        <v>LithiumAttero Recycling Pvt Ltd</v>
      </c>
    </row>
    <row r="327" spans="1:11">
      <c r="A327" s="156" t="s">
        <v>18687</v>
      </c>
      <c r="B327" s="156" t="s">
        <v>18839</v>
      </c>
      <c r="C327" s="156" t="s">
        <v>19274</v>
      </c>
      <c r="D327" s="156" t="s">
        <v>1364</v>
      </c>
      <c r="E327" s="156" t="s">
        <v>18840</v>
      </c>
      <c r="F327" s="157" t="s">
        <v>12</v>
      </c>
      <c r="H327" s="284" t="s">
        <v>19238</v>
      </c>
      <c r="I327" s="284" t="s">
        <v>2055</v>
      </c>
      <c r="J327" s="156" t="str">
        <f t="shared" si="8"/>
        <v>LithiumCauchari-Olaroz (Exar)</v>
      </c>
      <c r="K327" s="156" t="str">
        <f t="shared" si="9"/>
        <v>LithiumCauchari-Olaroz (Exar)</v>
      </c>
    </row>
    <row r="328" spans="1:11">
      <c r="A328" s="156" t="s">
        <v>18687</v>
      </c>
      <c r="B328" s="156" t="s">
        <v>18841</v>
      </c>
      <c r="C328" s="156" t="s">
        <v>18841</v>
      </c>
      <c r="D328" s="156" t="s">
        <v>65</v>
      </c>
      <c r="E328" s="156" t="s">
        <v>18842</v>
      </c>
      <c r="F328" s="157" t="s">
        <v>12</v>
      </c>
      <c r="H328" s="284" t="s">
        <v>19330</v>
      </c>
      <c r="I328" s="284" t="s">
        <v>3224</v>
      </c>
      <c r="J328" s="156" t="str">
        <f t="shared" ref="J328:J391" si="12">A328&amp;B328</f>
        <v>LithiumChengdu Youngy Lithium Technology Co., Ltd</v>
      </c>
      <c r="K328" s="156" t="str">
        <f t="shared" ref="K328:K391" si="13">A328&amp;B328</f>
        <v>LithiumChengdu Youngy Lithium Technology Co., Ltd</v>
      </c>
    </row>
    <row r="329" spans="1:11">
      <c r="A329" s="156" t="s">
        <v>18687</v>
      </c>
      <c r="B329" s="156" t="s">
        <v>18843</v>
      </c>
      <c r="C329" s="156" t="s">
        <v>18843</v>
      </c>
      <c r="D329" s="156" t="s">
        <v>65</v>
      </c>
      <c r="E329" s="156" t="s">
        <v>18844</v>
      </c>
      <c r="F329" s="157" t="s">
        <v>12</v>
      </c>
      <c r="H329" s="284" t="s">
        <v>19239</v>
      </c>
      <c r="I329" s="284" t="s">
        <v>68</v>
      </c>
      <c r="J329" s="156" t="str">
        <f t="shared" si="12"/>
        <v>LithiumChiZhou CN New Materials and Technology Co., Ltd.</v>
      </c>
      <c r="K329" s="156" t="str">
        <f t="shared" si="13"/>
        <v>LithiumChiZhou CN New Materials and Technology Co., Ltd.</v>
      </c>
    </row>
    <row r="330" spans="1:11">
      <c r="A330" s="156" t="s">
        <v>18687</v>
      </c>
      <c r="B330" s="156" t="s">
        <v>90</v>
      </c>
      <c r="C330" s="156" t="s">
        <v>90</v>
      </c>
      <c r="D330" s="156" t="s">
        <v>65</v>
      </c>
      <c r="E330" s="156" t="s">
        <v>20081</v>
      </c>
      <c r="F330" s="157" t="s">
        <v>12</v>
      </c>
      <c r="H330" s="284" t="s">
        <v>92</v>
      </c>
      <c r="I330" s="284" t="s">
        <v>93</v>
      </c>
      <c r="J330" s="156" t="str">
        <f t="shared" si="12"/>
        <v>LithiumFairsky Industrial Co., Limited</v>
      </c>
      <c r="K330" s="156" t="str">
        <f t="shared" si="13"/>
        <v>LithiumFairsky Industrial Co., Limited</v>
      </c>
    </row>
    <row r="331" spans="1:11">
      <c r="A331" s="156" t="s">
        <v>18687</v>
      </c>
      <c r="B331" s="156" t="s">
        <v>20082</v>
      </c>
      <c r="C331" s="156" t="s">
        <v>20082</v>
      </c>
      <c r="D331" s="156" t="s">
        <v>65</v>
      </c>
      <c r="E331" s="156" t="s">
        <v>18864</v>
      </c>
      <c r="F331" s="157" t="s">
        <v>12</v>
      </c>
      <c r="H331" s="284" t="s">
        <v>19244</v>
      </c>
      <c r="I331" s="284" t="s">
        <v>106</v>
      </c>
      <c r="J331" s="156" t="str">
        <f t="shared" si="12"/>
        <v>LithiumGanfeng Lithium Group Co., Ltd.</v>
      </c>
      <c r="K331" s="156" t="str">
        <f t="shared" si="13"/>
        <v>LithiumGanfeng Lithium Group Co., Ltd.</v>
      </c>
    </row>
    <row r="332" spans="1:11">
      <c r="A332" s="156" t="s">
        <v>18687</v>
      </c>
      <c r="B332" s="156" t="s">
        <v>18845</v>
      </c>
      <c r="C332" s="156" t="s">
        <v>18845</v>
      </c>
      <c r="D332" s="156" t="s">
        <v>65</v>
      </c>
      <c r="E332" s="156" t="s">
        <v>18846</v>
      </c>
      <c r="F332" s="157" t="s">
        <v>12</v>
      </c>
      <c r="H332" s="284" t="s">
        <v>105</v>
      </c>
      <c r="I332" s="284" t="s">
        <v>106</v>
      </c>
      <c r="J332" s="156" t="str">
        <f t="shared" si="12"/>
        <v>LithiumGanzhou Miracle Lithium Industrial Co., Ltd.</v>
      </c>
      <c r="K332" s="156" t="str">
        <f t="shared" si="13"/>
        <v>LithiumGanzhou Miracle Lithium Industrial Co., Ltd.</v>
      </c>
    </row>
    <row r="333" spans="1:11">
      <c r="A333" s="156" t="s">
        <v>18687</v>
      </c>
      <c r="B333" s="156" t="s">
        <v>18847</v>
      </c>
      <c r="C333" s="156" t="s">
        <v>18848</v>
      </c>
      <c r="D333" s="156" t="s">
        <v>65</v>
      </c>
      <c r="E333" s="156" t="s">
        <v>18849</v>
      </c>
      <c r="F333" s="157" t="s">
        <v>12</v>
      </c>
      <c r="H333" s="284" t="s">
        <v>19240</v>
      </c>
      <c r="I333" s="284" t="s">
        <v>114</v>
      </c>
      <c r="J333" s="156" t="str">
        <f t="shared" si="12"/>
        <v>LithiumGeneral Lithium</v>
      </c>
      <c r="K333" s="156" t="str">
        <f t="shared" si="13"/>
        <v>LithiumGeneral Lithium</v>
      </c>
    </row>
    <row r="334" spans="1:11">
      <c r="A334" s="156" t="s">
        <v>18687</v>
      </c>
      <c r="B334" s="156" t="s">
        <v>18848</v>
      </c>
      <c r="C334" s="156" t="s">
        <v>18848</v>
      </c>
      <c r="D334" s="156" t="s">
        <v>65</v>
      </c>
      <c r="E334" s="156" t="s">
        <v>18849</v>
      </c>
      <c r="F334" s="157" t="s">
        <v>12</v>
      </c>
      <c r="H334" s="284" t="s">
        <v>19240</v>
      </c>
      <c r="I334" s="284" t="s">
        <v>114</v>
      </c>
      <c r="J334" s="156" t="str">
        <f t="shared" si="12"/>
        <v>LithiumGeneral Lithium Corporation</v>
      </c>
      <c r="K334" s="156" t="str">
        <f t="shared" si="13"/>
        <v>LithiumGeneral Lithium Corporation</v>
      </c>
    </row>
    <row r="335" spans="1:11">
      <c r="A335" s="156" t="s">
        <v>18687</v>
      </c>
      <c r="B335" s="156" t="s">
        <v>18850</v>
      </c>
      <c r="C335" s="156" t="s">
        <v>18850</v>
      </c>
      <c r="D335" s="156" t="s">
        <v>212</v>
      </c>
      <c r="E335" s="156" t="s">
        <v>18851</v>
      </c>
      <c r="F335" s="157" t="s">
        <v>12</v>
      </c>
      <c r="H335" s="284" t="s">
        <v>19328</v>
      </c>
      <c r="I335" s="284" t="s">
        <v>215</v>
      </c>
      <c r="J335" s="156" t="str">
        <f t="shared" si="12"/>
        <v>LithiumGreenbushes Lithium Operation</v>
      </c>
      <c r="K335" s="156" t="str">
        <f t="shared" si="13"/>
        <v>LithiumGreenbushes Lithium Operation</v>
      </c>
    </row>
    <row r="336" spans="1:11">
      <c r="A336" s="156" t="s">
        <v>18687</v>
      </c>
      <c r="B336" s="156" t="s">
        <v>12231</v>
      </c>
      <c r="C336" s="156" t="s">
        <v>12231</v>
      </c>
      <c r="D336" s="156" t="s">
        <v>65</v>
      </c>
      <c r="E336" s="156" t="s">
        <v>18852</v>
      </c>
      <c r="F336" s="157" t="s">
        <v>12</v>
      </c>
      <c r="H336" s="284" t="s">
        <v>19241</v>
      </c>
      <c r="I336" s="284" t="s">
        <v>130</v>
      </c>
      <c r="J336" s="156" t="str">
        <f t="shared" si="12"/>
        <v>LithiumGuizhou Red Star Electronic Material Co., Ltd.</v>
      </c>
      <c r="K336" s="156" t="str">
        <f t="shared" si="13"/>
        <v>LithiumGuizhou Red Star Electronic Material Co., Ltd.</v>
      </c>
    </row>
    <row r="337" spans="1:11">
      <c r="A337" s="156" t="s">
        <v>18687</v>
      </c>
      <c r="B337" s="156" t="s">
        <v>18853</v>
      </c>
      <c r="C337" s="156" t="s">
        <v>18853</v>
      </c>
      <c r="D337" s="156" t="s">
        <v>65</v>
      </c>
      <c r="E337" s="156" t="s">
        <v>18854</v>
      </c>
      <c r="F337" s="157" t="s">
        <v>12</v>
      </c>
      <c r="H337" s="284" t="s">
        <v>19241</v>
      </c>
      <c r="I337" s="284" t="s">
        <v>130</v>
      </c>
      <c r="J337" s="156" t="str">
        <f t="shared" si="12"/>
        <v>LithiumGuizhou Redstar Development Dalong Manganese Industry Co., Ltd.</v>
      </c>
      <c r="K337" s="156" t="str">
        <f t="shared" si="13"/>
        <v>LithiumGuizhou Redstar Development Dalong Manganese Industry Co., Ltd.</v>
      </c>
    </row>
    <row r="338" spans="1:11">
      <c r="A338" s="156" t="s">
        <v>18687</v>
      </c>
      <c r="B338" s="156" t="s">
        <v>140</v>
      </c>
      <c r="C338" s="156" t="s">
        <v>140</v>
      </c>
      <c r="D338" s="156" t="s">
        <v>65</v>
      </c>
      <c r="E338" s="156" t="s">
        <v>18855</v>
      </c>
      <c r="F338" s="157" t="s">
        <v>12</v>
      </c>
      <c r="H338" s="284" t="s">
        <v>142</v>
      </c>
      <c r="I338" s="284" t="s">
        <v>143</v>
      </c>
      <c r="J338" s="156" t="str">
        <f t="shared" si="12"/>
        <v>LithiumHunan Brunp Recycling Technology Co., Ltd.</v>
      </c>
      <c r="K338" s="156" t="str">
        <f t="shared" si="13"/>
        <v>LithiumHunan Brunp Recycling Technology Co., Ltd.</v>
      </c>
    </row>
    <row r="339" spans="1:11">
      <c r="A339" s="156" t="s">
        <v>18687</v>
      </c>
      <c r="B339" s="156" t="s">
        <v>18856</v>
      </c>
      <c r="C339" s="156" t="s">
        <v>18857</v>
      </c>
      <c r="D339" s="156" t="s">
        <v>65</v>
      </c>
      <c r="E339" s="156" t="s">
        <v>18858</v>
      </c>
      <c r="F339" s="157" t="s">
        <v>12</v>
      </c>
      <c r="H339" s="284" t="s">
        <v>19242</v>
      </c>
      <c r="I339" s="284" t="s">
        <v>143</v>
      </c>
      <c r="J339" s="156" t="str">
        <f t="shared" si="12"/>
        <v>LithiumHunan Wuchuang Cycle Technology Co., LTD</v>
      </c>
      <c r="K339" s="156" t="str">
        <f t="shared" si="13"/>
        <v>LithiumHunan Wuchuang Cycle Technology Co., LTD</v>
      </c>
    </row>
    <row r="340" spans="1:11">
      <c r="A340" s="156" t="s">
        <v>18687</v>
      </c>
      <c r="B340" s="156" t="s">
        <v>18857</v>
      </c>
      <c r="C340" s="156" t="s">
        <v>18857</v>
      </c>
      <c r="D340" s="156" t="s">
        <v>65</v>
      </c>
      <c r="E340" s="156" t="s">
        <v>18858</v>
      </c>
      <c r="F340" s="157" t="s">
        <v>12</v>
      </c>
      <c r="H340" s="284" t="s">
        <v>19242</v>
      </c>
      <c r="I340" s="284" t="s">
        <v>143</v>
      </c>
      <c r="J340" s="156" t="str">
        <f t="shared" si="12"/>
        <v>LithiumHunan Wuchuang Recycling Technology Co., Ltd.</v>
      </c>
      <c r="K340" s="156" t="str">
        <f t="shared" si="13"/>
        <v>LithiumHunan Wuchuang Recycling Technology Co., Ltd.</v>
      </c>
    </row>
    <row r="341" spans="1:11">
      <c r="A341" s="156" t="s">
        <v>18687</v>
      </c>
      <c r="B341" s="156" t="s">
        <v>18859</v>
      </c>
      <c r="C341" s="156" t="s">
        <v>18859</v>
      </c>
      <c r="D341" s="156" t="s">
        <v>65</v>
      </c>
      <c r="E341" s="156" t="s">
        <v>18860</v>
      </c>
      <c r="F341" s="157" t="s">
        <v>12</v>
      </c>
      <c r="H341" s="284" t="s">
        <v>19243</v>
      </c>
      <c r="I341" s="284" t="s">
        <v>143</v>
      </c>
      <c r="J341" s="156" t="str">
        <f t="shared" si="12"/>
        <v>LithiumHunan Yongshan Lithium Co., Ltd.</v>
      </c>
      <c r="K341" s="156" t="str">
        <f t="shared" si="13"/>
        <v>LithiumHunan Yongshan Lithium Co., Ltd.</v>
      </c>
    </row>
    <row r="342" spans="1:11">
      <c r="A342" s="156" t="s">
        <v>18687</v>
      </c>
      <c r="B342" s="156" t="s">
        <v>18861</v>
      </c>
      <c r="C342" s="156" t="s">
        <v>18861</v>
      </c>
      <c r="D342" s="156" t="s">
        <v>65</v>
      </c>
      <c r="E342" s="156" t="s">
        <v>18862</v>
      </c>
      <c r="F342" s="157" t="s">
        <v>12</v>
      </c>
      <c r="H342" s="284" t="s">
        <v>19329</v>
      </c>
      <c r="I342" s="284" t="s">
        <v>114</v>
      </c>
      <c r="J342" s="156" t="str">
        <f t="shared" si="12"/>
        <v>LithiumJiangsu Baozong &amp; Baoda Pharmachem Co. Ltd.</v>
      </c>
      <c r="K342" s="156" t="str">
        <f t="shared" si="13"/>
        <v>LithiumJiangsu Baozong &amp; Baoda Pharmachem Co. Ltd.</v>
      </c>
    </row>
    <row r="343" spans="1:11">
      <c r="A343" s="156" t="s">
        <v>18687</v>
      </c>
      <c r="B343" s="156" t="s">
        <v>20083</v>
      </c>
      <c r="C343" s="156" t="s">
        <v>20083</v>
      </c>
      <c r="D343" s="156" t="s">
        <v>65</v>
      </c>
      <c r="E343" s="156" t="s">
        <v>18908</v>
      </c>
      <c r="F343" s="157" t="s">
        <v>12</v>
      </c>
      <c r="H343" s="284" t="s">
        <v>18907</v>
      </c>
      <c r="I343" s="284" t="s">
        <v>106</v>
      </c>
      <c r="J343" s="156" t="str">
        <f t="shared" si="12"/>
        <v>LithiumJiangxi Albemarle Lithium Co., Ltd.</v>
      </c>
      <c r="K343" s="156" t="str">
        <f t="shared" si="13"/>
        <v>LithiumJiangxi Albemarle Lithium Co., Ltd.</v>
      </c>
    </row>
    <row r="344" spans="1:11">
      <c r="A344" s="156" t="s">
        <v>18687</v>
      </c>
      <c r="B344" s="156" t="s">
        <v>18863</v>
      </c>
      <c r="C344" s="156" t="s">
        <v>20082</v>
      </c>
      <c r="D344" s="156" t="s">
        <v>65</v>
      </c>
      <c r="E344" s="156" t="s">
        <v>18864</v>
      </c>
      <c r="F344" s="157" t="s">
        <v>12</v>
      </c>
      <c r="H344" s="284" t="s">
        <v>19244</v>
      </c>
      <c r="I344" s="284" t="s">
        <v>106</v>
      </c>
      <c r="J344" s="156" t="str">
        <f t="shared" si="12"/>
        <v>LithiumJiangxi Ganfeng Lithium Co., Ltd.</v>
      </c>
      <c r="K344" s="156" t="str">
        <f t="shared" si="13"/>
        <v>LithiumJiangxi Ganfeng Lithium Co., Ltd.</v>
      </c>
    </row>
    <row r="345" spans="1:11">
      <c r="A345" s="156" t="s">
        <v>18687</v>
      </c>
      <c r="B345" s="156" t="s">
        <v>18865</v>
      </c>
      <c r="C345" s="156" t="s">
        <v>18865</v>
      </c>
      <c r="D345" s="156" t="s">
        <v>65</v>
      </c>
      <c r="E345" s="156" t="s">
        <v>18866</v>
      </c>
      <c r="F345" s="157" t="s">
        <v>12</v>
      </c>
      <c r="H345" s="284" t="s">
        <v>12300</v>
      </c>
      <c r="I345" s="284" t="s">
        <v>106</v>
      </c>
      <c r="J345" s="156" t="str">
        <f t="shared" si="12"/>
        <v>LithiumJiangxi Nanshi Lithium Power New Materials Co., Ltd.</v>
      </c>
      <c r="K345" s="156" t="str">
        <f t="shared" si="13"/>
        <v>LithiumJiangxi Nanshi Lithium Power New Materials Co., Ltd.</v>
      </c>
    </row>
    <row r="346" spans="1:11">
      <c r="A346" s="156" t="s">
        <v>18687</v>
      </c>
      <c r="B346" s="156" t="s">
        <v>167</v>
      </c>
      <c r="C346" s="156" t="s">
        <v>12298</v>
      </c>
      <c r="D346" s="156" t="s">
        <v>65</v>
      </c>
      <c r="E346" s="156" t="s">
        <v>18867</v>
      </c>
      <c r="F346" s="157" t="s">
        <v>12</v>
      </c>
      <c r="H346" s="284" t="s">
        <v>12300</v>
      </c>
      <c r="I346" s="284" t="s">
        <v>106</v>
      </c>
      <c r="J346" s="156" t="str">
        <f t="shared" si="12"/>
        <v>LithiumJiangxi Rui da Xinnengyuan Technology Co., Ltd.</v>
      </c>
      <c r="K346" s="156" t="str">
        <f t="shared" si="13"/>
        <v>LithiumJiangxi Rui da Xinnengyuan Technology Co., Ltd.</v>
      </c>
    </row>
    <row r="347" spans="1:11">
      <c r="A347" s="156" t="s">
        <v>18687</v>
      </c>
      <c r="B347" s="156" t="s">
        <v>12298</v>
      </c>
      <c r="C347" s="156" t="s">
        <v>12298</v>
      </c>
      <c r="D347" s="156" t="s">
        <v>65</v>
      </c>
      <c r="E347" s="156" t="s">
        <v>18867</v>
      </c>
      <c r="F347" s="157" t="s">
        <v>12</v>
      </c>
      <c r="H347" s="284" t="s">
        <v>12300</v>
      </c>
      <c r="I347" s="284" t="s">
        <v>106</v>
      </c>
      <c r="J347" s="156" t="str">
        <f t="shared" si="12"/>
        <v>LithiumJiangxi Ruida New Energy Technology Co., Ltd.</v>
      </c>
      <c r="K347" s="156" t="str">
        <f t="shared" si="13"/>
        <v>LithiumJiangxi Ruida New Energy Technology Co., Ltd.</v>
      </c>
    </row>
    <row r="348" spans="1:11">
      <c r="A348" s="156" t="s">
        <v>18687</v>
      </c>
      <c r="B348" s="156" t="s">
        <v>168</v>
      </c>
      <c r="C348" s="156" t="s">
        <v>168</v>
      </c>
      <c r="D348" s="156" t="s">
        <v>65</v>
      </c>
      <c r="E348" s="156" t="s">
        <v>18868</v>
      </c>
      <c r="F348" s="157" t="s">
        <v>12</v>
      </c>
      <c r="H348" s="284" t="s">
        <v>19245</v>
      </c>
      <c r="I348" s="284" t="s">
        <v>171</v>
      </c>
      <c r="J348" s="156" t="str">
        <f t="shared" si="12"/>
        <v>LithiumJingmen GEM Co., Ltd.</v>
      </c>
      <c r="K348" s="156" t="str">
        <f t="shared" si="13"/>
        <v>LithiumJingmen GEM Co., Ltd.</v>
      </c>
    </row>
    <row r="349" spans="1:11">
      <c r="A349" s="156" t="s">
        <v>18687</v>
      </c>
      <c r="B349" s="156" t="s">
        <v>18869</v>
      </c>
      <c r="C349" s="156" t="s">
        <v>20084</v>
      </c>
      <c r="D349" s="156" t="s">
        <v>212</v>
      </c>
      <c r="E349" s="156" t="s">
        <v>18870</v>
      </c>
      <c r="F349" s="157" t="s">
        <v>12</v>
      </c>
      <c r="H349" s="284" t="s">
        <v>19331</v>
      </c>
      <c r="I349" s="284" t="s">
        <v>215</v>
      </c>
      <c r="J349" s="156" t="str">
        <f t="shared" si="12"/>
        <v>LithiumKemerton</v>
      </c>
      <c r="K349" s="156" t="str">
        <f t="shared" si="13"/>
        <v>LithiumKemerton</v>
      </c>
    </row>
    <row r="350" spans="1:11">
      <c r="A350" s="156" t="s">
        <v>18687</v>
      </c>
      <c r="B350" s="156" t="s">
        <v>20084</v>
      </c>
      <c r="C350" s="156" t="s">
        <v>20084</v>
      </c>
      <c r="D350" s="156" t="s">
        <v>212</v>
      </c>
      <c r="E350" s="156" t="s">
        <v>18870</v>
      </c>
      <c r="F350" s="157" t="s">
        <v>12</v>
      </c>
      <c r="H350" s="284" t="s">
        <v>19331</v>
      </c>
      <c r="I350" s="284" t="s">
        <v>215</v>
      </c>
      <c r="J350" s="156" t="str">
        <f t="shared" si="12"/>
        <v>LithiumKemerton Lithium Hydroxide Plant</v>
      </c>
      <c r="K350" s="156" t="str">
        <f t="shared" si="13"/>
        <v>LithiumKemerton Lithium Hydroxide Plant</v>
      </c>
    </row>
    <row r="351" spans="1:11">
      <c r="A351" s="156" t="s">
        <v>18687</v>
      </c>
      <c r="B351" s="156" t="s">
        <v>20085</v>
      </c>
      <c r="C351" s="156" t="s">
        <v>20085</v>
      </c>
      <c r="D351" s="156" t="s">
        <v>300</v>
      </c>
      <c r="E351" s="156" t="s">
        <v>18872</v>
      </c>
      <c r="F351" s="157" t="s">
        <v>12</v>
      </c>
      <c r="H351" s="284" t="s">
        <v>321</v>
      </c>
      <c r="I351" s="284" t="s">
        <v>322</v>
      </c>
      <c r="J351" s="156" t="str">
        <f t="shared" si="12"/>
        <v>LithiumKings Mountain Lithium Hydroxide Plant</v>
      </c>
      <c r="K351" s="156" t="str">
        <f t="shared" si="13"/>
        <v>LithiumKings Mountain Lithium Hydroxide Plant</v>
      </c>
    </row>
    <row r="352" spans="1:11">
      <c r="A352" s="156" t="s">
        <v>18687</v>
      </c>
      <c r="B352" s="156" t="s">
        <v>18871</v>
      </c>
      <c r="C352" s="156" t="s">
        <v>20085</v>
      </c>
      <c r="D352" s="156" t="s">
        <v>300</v>
      </c>
      <c r="E352" s="156" t="s">
        <v>18872</v>
      </c>
      <c r="F352" s="157" t="s">
        <v>12</v>
      </c>
      <c r="H352" s="284" t="s">
        <v>321</v>
      </c>
      <c r="I352" s="284" t="s">
        <v>322</v>
      </c>
      <c r="J352" s="156" t="str">
        <f t="shared" si="12"/>
        <v>LithiumKings Mountain Lithium Plant</v>
      </c>
      <c r="K352" s="156" t="str">
        <f t="shared" si="13"/>
        <v>LithiumKings Mountain Lithium Plant</v>
      </c>
    </row>
    <row r="353" spans="1:11">
      <c r="A353" s="156" t="s">
        <v>18687</v>
      </c>
      <c r="B353" s="156" t="s">
        <v>19233</v>
      </c>
      <c r="C353" s="156" t="s">
        <v>19231</v>
      </c>
      <c r="D353" s="156" t="s">
        <v>1428</v>
      </c>
      <c r="E353" s="156" t="s">
        <v>19232</v>
      </c>
      <c r="F353" s="157" t="s">
        <v>12</v>
      </c>
      <c r="H353" s="284" t="s">
        <v>3152</v>
      </c>
      <c r="I353" s="284" t="s">
        <v>3152</v>
      </c>
      <c r="J353" s="156" t="str">
        <f t="shared" si="12"/>
        <v>LithiumLa Negra Chemical Plant</v>
      </c>
      <c r="K353" s="156" t="str">
        <f t="shared" si="13"/>
        <v>LithiumLa Negra Chemical Plant</v>
      </c>
    </row>
    <row r="354" spans="1:11">
      <c r="A354" s="156" t="s">
        <v>18687</v>
      </c>
      <c r="B354" s="156" t="s">
        <v>19231</v>
      </c>
      <c r="C354" s="156" t="s">
        <v>19231</v>
      </c>
      <c r="D354" s="156" t="s">
        <v>1428</v>
      </c>
      <c r="E354" s="156" t="s">
        <v>19232</v>
      </c>
      <c r="F354" s="157" t="s">
        <v>12</v>
      </c>
      <c r="H354" s="284" t="s">
        <v>3152</v>
      </c>
      <c r="I354" s="284" t="s">
        <v>3152</v>
      </c>
      <c r="J354" s="156" t="str">
        <f t="shared" si="12"/>
        <v>LithiumLa Negra Lithium Carbonate Plant</v>
      </c>
      <c r="K354" s="156" t="str">
        <f t="shared" si="13"/>
        <v>LithiumLa Negra Lithium Carbonate Plant</v>
      </c>
    </row>
    <row r="355" spans="1:11">
      <c r="A355" s="156" t="s">
        <v>18687</v>
      </c>
      <c r="B355" s="156" t="s">
        <v>19275</v>
      </c>
      <c r="C355" s="156" t="s">
        <v>19275</v>
      </c>
      <c r="D355" s="156" t="s">
        <v>65</v>
      </c>
      <c r="E355" s="156" t="s">
        <v>19276</v>
      </c>
      <c r="F355" s="157" t="s">
        <v>12</v>
      </c>
      <c r="H355" s="284" t="s">
        <v>19281</v>
      </c>
      <c r="I355" s="284" t="s">
        <v>198</v>
      </c>
      <c r="J355" s="156" t="str">
        <f t="shared" si="12"/>
        <v>LithiumLianhe Chemical Technology(Linhai) Co.,Ltd</v>
      </c>
      <c r="K355" s="156" t="str">
        <f t="shared" si="13"/>
        <v>LithiumLianhe Chemical Technology(Linhai) Co.,Ltd</v>
      </c>
    </row>
    <row r="356" spans="1:11">
      <c r="A356" s="156" t="s">
        <v>18687</v>
      </c>
      <c r="B356" s="156" t="s">
        <v>18873</v>
      </c>
      <c r="C356" s="156" t="s">
        <v>18834</v>
      </c>
      <c r="D356" s="156" t="s">
        <v>300</v>
      </c>
      <c r="E356" s="156" t="s">
        <v>18835</v>
      </c>
      <c r="F356" s="157" t="s">
        <v>12</v>
      </c>
      <c r="H356" s="284" t="s">
        <v>19326</v>
      </c>
      <c r="I356" s="284" t="s">
        <v>322</v>
      </c>
      <c r="J356" s="156" t="str">
        <f t="shared" si="12"/>
        <v>LithiumLivent (Bessemer City)</v>
      </c>
      <c r="K356" s="156" t="str">
        <f t="shared" si="13"/>
        <v>LithiumLivent (Bessemer City)</v>
      </c>
    </row>
    <row r="357" spans="1:11">
      <c r="A357" s="156" t="s">
        <v>18687</v>
      </c>
      <c r="B357" s="156" t="s">
        <v>18874</v>
      </c>
      <c r="C357" s="156" t="s">
        <v>18836</v>
      </c>
      <c r="D357" s="156" t="s">
        <v>1364</v>
      </c>
      <c r="E357" s="156" t="s">
        <v>18837</v>
      </c>
      <c r="F357" s="157" t="s">
        <v>12</v>
      </c>
      <c r="H357" s="284" t="s">
        <v>19327</v>
      </c>
      <c r="I357" s="284" t="s">
        <v>2029</v>
      </c>
      <c r="J357" s="156" t="str">
        <f t="shared" si="12"/>
        <v>LithiumLivent (Fenix)</v>
      </c>
      <c r="K357" s="156" t="str">
        <f t="shared" si="13"/>
        <v>LithiumLivent (Fenix)</v>
      </c>
    </row>
    <row r="358" spans="1:11">
      <c r="A358" s="156" t="s">
        <v>18687</v>
      </c>
      <c r="B358" s="156" t="s">
        <v>18875</v>
      </c>
      <c r="C358" s="156" t="s">
        <v>18834</v>
      </c>
      <c r="D358" s="156" t="s">
        <v>300</v>
      </c>
      <c r="E358" s="156" t="s">
        <v>18835</v>
      </c>
      <c r="F358" s="157" t="s">
        <v>12</v>
      </c>
      <c r="H358" s="284" t="s">
        <v>19326</v>
      </c>
      <c r="I358" s="284" t="s">
        <v>322</v>
      </c>
      <c r="J358" s="156" t="str">
        <f t="shared" si="12"/>
        <v>LithiumLivent Corporation (Bessemer City)</v>
      </c>
      <c r="K358" s="156" t="str">
        <f t="shared" si="13"/>
        <v>LithiumLivent Corporation (Bessemer City)</v>
      </c>
    </row>
    <row r="359" spans="1:11">
      <c r="A359" s="156" t="s">
        <v>18687</v>
      </c>
      <c r="B359" s="156" t="s">
        <v>18876</v>
      </c>
      <c r="C359" s="156" t="s">
        <v>18836</v>
      </c>
      <c r="D359" s="156" t="s">
        <v>1364</v>
      </c>
      <c r="E359" s="156" t="s">
        <v>18837</v>
      </c>
      <c r="F359" s="157" t="s">
        <v>12</v>
      </c>
      <c r="H359" s="284" t="s">
        <v>19327</v>
      </c>
      <c r="I359" s="284" t="s">
        <v>2029</v>
      </c>
      <c r="J359" s="156" t="str">
        <f t="shared" si="12"/>
        <v>LithiumLivent Corporation (Fenix)</v>
      </c>
      <c r="K359" s="156" t="str">
        <f t="shared" si="13"/>
        <v>LithiumLivent Corporation (Fenix)</v>
      </c>
    </row>
    <row r="360" spans="1:11">
      <c r="A360" s="156" t="s">
        <v>18687</v>
      </c>
      <c r="B360" s="156" t="s">
        <v>18877</v>
      </c>
      <c r="C360" s="156" t="s">
        <v>18877</v>
      </c>
      <c r="D360" s="156" t="s">
        <v>65</v>
      </c>
      <c r="E360" s="156" t="s">
        <v>18878</v>
      </c>
      <c r="F360" s="157" t="s">
        <v>12</v>
      </c>
      <c r="H360" s="284" t="s">
        <v>105</v>
      </c>
      <c r="I360" s="284" t="s">
        <v>106</v>
      </c>
      <c r="J360" s="156" t="str">
        <f t="shared" si="12"/>
        <v>LithiumLongnan Ruihong Technology Co., Ltd.</v>
      </c>
      <c r="K360" s="156" t="str">
        <f t="shared" si="13"/>
        <v>LithiumLongnan Ruihong Technology Co., Ltd.</v>
      </c>
    </row>
    <row r="361" spans="1:11">
      <c r="A361" s="156" t="s">
        <v>18687</v>
      </c>
      <c r="B361" s="156" t="s">
        <v>18879</v>
      </c>
      <c r="C361" s="156" t="s">
        <v>19274</v>
      </c>
      <c r="D361" s="156" t="s">
        <v>1364</v>
      </c>
      <c r="E361" s="156" t="s">
        <v>18840</v>
      </c>
      <c r="F361" s="157" t="s">
        <v>12</v>
      </c>
      <c r="H361" s="284" t="s">
        <v>19238</v>
      </c>
      <c r="I361" s="284" t="s">
        <v>2055</v>
      </c>
      <c r="J361" s="156" t="str">
        <f t="shared" si="12"/>
        <v>LithiumMinera Exar (Ganfeng Lithium-Lithium Americas)</v>
      </c>
      <c r="K361" s="156" t="str">
        <f t="shared" si="13"/>
        <v>LithiumMinera Exar (Ganfeng Lithium-Lithium Americas)</v>
      </c>
    </row>
    <row r="362" spans="1:11">
      <c r="A362" s="156" t="s">
        <v>18687</v>
      </c>
      <c r="B362" s="156" t="s">
        <v>19274</v>
      </c>
      <c r="C362" s="156" t="s">
        <v>19274</v>
      </c>
      <c r="D362" s="156" t="s">
        <v>1364</v>
      </c>
      <c r="E362" s="156" t="s">
        <v>18840</v>
      </c>
      <c r="F362" s="157" t="s">
        <v>12</v>
      </c>
      <c r="H362" s="284" t="s">
        <v>19238</v>
      </c>
      <c r="I362" s="284" t="s">
        <v>2055</v>
      </c>
      <c r="J362" s="156" t="str">
        <f t="shared" si="12"/>
        <v>LithiumMinera Exar S.A.</v>
      </c>
      <c r="K362" s="156" t="str">
        <f t="shared" si="13"/>
        <v>LithiumMinera Exar S.A.</v>
      </c>
    </row>
    <row r="363" spans="1:11">
      <c r="A363" s="156" t="s">
        <v>18687</v>
      </c>
      <c r="B363" s="156" t="s">
        <v>18880</v>
      </c>
      <c r="C363" s="156" t="s">
        <v>18880</v>
      </c>
      <c r="D363" s="156" t="s">
        <v>65</v>
      </c>
      <c r="E363" s="156" t="s">
        <v>18881</v>
      </c>
      <c r="F363" s="157" t="s">
        <v>12</v>
      </c>
      <c r="H363" s="284" t="s">
        <v>105</v>
      </c>
      <c r="I363" s="284" t="s">
        <v>106</v>
      </c>
      <c r="J363" s="156" t="str">
        <f t="shared" si="12"/>
        <v>LithiumNingdu Ganfeng Lithium Co., Ltd.</v>
      </c>
      <c r="K363" s="156" t="str">
        <f t="shared" si="13"/>
        <v>LithiumNingdu Ganfeng Lithium Co., Ltd.</v>
      </c>
    </row>
    <row r="364" spans="1:11">
      <c r="A364" s="156" t="s">
        <v>18687</v>
      </c>
      <c r="B364" s="156" t="s">
        <v>20086</v>
      </c>
      <c r="C364" s="156" t="s">
        <v>20087</v>
      </c>
      <c r="D364" s="156" t="s">
        <v>1428</v>
      </c>
      <c r="E364" s="156" t="s">
        <v>18899</v>
      </c>
      <c r="F364" s="157" t="s">
        <v>12</v>
      </c>
      <c r="H364" s="284" t="s">
        <v>3152</v>
      </c>
      <c r="I364" s="284" t="s">
        <v>3152</v>
      </c>
      <c r="J364" s="156" t="str">
        <f t="shared" si="12"/>
        <v>LithiumPlanta Quimica Carmen</v>
      </c>
      <c r="K364" s="156" t="str">
        <f t="shared" si="13"/>
        <v>LithiumPlanta Quimica Carmen</v>
      </c>
    </row>
    <row r="365" spans="1:11">
      <c r="A365" s="156" t="s">
        <v>18687</v>
      </c>
      <c r="B365" s="156" t="s">
        <v>19277</v>
      </c>
      <c r="C365" s="156" t="s">
        <v>19277</v>
      </c>
      <c r="D365" s="156" t="s">
        <v>246</v>
      </c>
      <c r="E365" s="156" t="s">
        <v>19278</v>
      </c>
      <c r="F365" s="157" t="s">
        <v>12</v>
      </c>
      <c r="H365" s="284" t="s">
        <v>19282</v>
      </c>
      <c r="I365" s="284" t="s">
        <v>5457</v>
      </c>
      <c r="J365" s="156" t="str">
        <f t="shared" si="12"/>
        <v>LithiumPT. ChengTok Lithium Indonesia</v>
      </c>
      <c r="K365" s="156" t="str">
        <f t="shared" si="13"/>
        <v>LithiumPT. ChengTok Lithium Indonesia</v>
      </c>
    </row>
    <row r="366" spans="1:11">
      <c r="A366" s="156" t="s">
        <v>18687</v>
      </c>
      <c r="B366" s="156" t="s">
        <v>18882</v>
      </c>
      <c r="C366" s="156" t="s">
        <v>18882</v>
      </c>
      <c r="D366" s="156" t="s">
        <v>65</v>
      </c>
      <c r="E366" s="156" t="s">
        <v>18883</v>
      </c>
      <c r="F366" s="157" t="s">
        <v>12</v>
      </c>
      <c r="H366" s="284" t="s">
        <v>19246</v>
      </c>
      <c r="I366" s="284" t="s">
        <v>3222</v>
      </c>
      <c r="J366" s="156" t="str">
        <f t="shared" si="12"/>
        <v>LithiumQinghai Dongtai Jinear Lithium Resources Co., Ltd.</v>
      </c>
      <c r="K366" s="156" t="str">
        <f t="shared" si="13"/>
        <v>LithiumQinghai Dongtai Jinear Lithium Resources Co., Ltd.</v>
      </c>
    </row>
    <row r="367" spans="1:11">
      <c r="A367" s="156" t="s">
        <v>18687</v>
      </c>
      <c r="B367" s="156" t="s">
        <v>18884</v>
      </c>
      <c r="C367" s="156" t="s">
        <v>18884</v>
      </c>
      <c r="D367" s="156" t="s">
        <v>65</v>
      </c>
      <c r="E367" s="156" t="s">
        <v>18885</v>
      </c>
      <c r="F367" s="157" t="s">
        <v>12</v>
      </c>
      <c r="H367" s="284" t="s">
        <v>19246</v>
      </c>
      <c r="I367" s="284" t="s">
        <v>3222</v>
      </c>
      <c r="J367" s="156" t="str">
        <f t="shared" si="12"/>
        <v>LithiumQinghai Jinaier Lithium Resources Co., Ltd.</v>
      </c>
      <c r="K367" s="156" t="str">
        <f t="shared" si="13"/>
        <v>LithiumQinghai Jinaier Lithium Resources Co., Ltd.</v>
      </c>
    </row>
    <row r="368" spans="1:11">
      <c r="A368" s="156" t="s">
        <v>18687</v>
      </c>
      <c r="B368" s="156" t="s">
        <v>18886</v>
      </c>
      <c r="C368" s="156" t="s">
        <v>20088</v>
      </c>
      <c r="D368" s="156" t="s">
        <v>65</v>
      </c>
      <c r="E368" s="156" t="s">
        <v>18888</v>
      </c>
      <c r="F368" s="157" t="s">
        <v>12</v>
      </c>
      <c r="H368" s="284" t="s">
        <v>18886</v>
      </c>
      <c r="I368" s="284" t="s">
        <v>126</v>
      </c>
      <c r="J368" s="156" t="str">
        <f t="shared" si="12"/>
        <v>LithiumQinzhou</v>
      </c>
      <c r="K368" s="156" t="str">
        <f t="shared" si="13"/>
        <v>LithiumQinzhou</v>
      </c>
    </row>
    <row r="369" spans="1:11">
      <c r="A369" s="156" t="s">
        <v>18687</v>
      </c>
      <c r="B369" s="156" t="s">
        <v>18887</v>
      </c>
      <c r="C369" s="156" t="s">
        <v>20088</v>
      </c>
      <c r="D369" s="156" t="s">
        <v>65</v>
      </c>
      <c r="E369" s="156" t="s">
        <v>18888</v>
      </c>
      <c r="F369" s="157" t="s">
        <v>12</v>
      </c>
      <c r="H369" s="284" t="s">
        <v>18886</v>
      </c>
      <c r="I369" s="284" t="s">
        <v>126</v>
      </c>
      <c r="J369" s="156" t="str">
        <f t="shared" si="12"/>
        <v>LithiumQinzhou Lithium</v>
      </c>
      <c r="K369" s="156" t="str">
        <f t="shared" si="13"/>
        <v>LithiumQinzhou Lithium</v>
      </c>
    </row>
    <row r="370" spans="1:11">
      <c r="A370" s="156" t="s">
        <v>18687</v>
      </c>
      <c r="B370" s="156" t="s">
        <v>20088</v>
      </c>
      <c r="C370" s="156" t="s">
        <v>20088</v>
      </c>
      <c r="D370" s="156" t="s">
        <v>65</v>
      </c>
      <c r="E370" s="156" t="s">
        <v>18888</v>
      </c>
      <c r="F370" s="157" t="s">
        <v>12</v>
      </c>
      <c r="H370" s="284" t="s">
        <v>18886</v>
      </c>
      <c r="I370" s="284" t="s">
        <v>126</v>
      </c>
      <c r="J370" s="156" t="str">
        <f t="shared" si="12"/>
        <v>LithiumQinzhou Lithium Hydroxide Plant</v>
      </c>
      <c r="K370" s="156" t="str">
        <f t="shared" si="13"/>
        <v>LithiumQinzhou Lithium Hydroxide Plant</v>
      </c>
    </row>
    <row r="371" spans="1:11">
      <c r="A371" s="156" t="s">
        <v>18687</v>
      </c>
      <c r="B371" s="156" t="s">
        <v>18889</v>
      </c>
      <c r="C371" s="156" t="s">
        <v>18889</v>
      </c>
      <c r="D371" s="156" t="s">
        <v>65</v>
      </c>
      <c r="E371" s="156" t="s">
        <v>18890</v>
      </c>
      <c r="F371" s="157" t="s">
        <v>12</v>
      </c>
      <c r="H371" s="284" t="s">
        <v>105</v>
      </c>
      <c r="I371" s="284" t="s">
        <v>106</v>
      </c>
      <c r="J371" s="156" t="str">
        <f t="shared" si="12"/>
        <v>LithiumQuannan Ruilong Technology Co., Ltd.</v>
      </c>
      <c r="K371" s="156" t="str">
        <f t="shared" si="13"/>
        <v>LithiumQuannan Ruilong Technology Co., Ltd.</v>
      </c>
    </row>
    <row r="372" spans="1:11">
      <c r="A372" s="156" t="s">
        <v>18687</v>
      </c>
      <c r="B372" s="156" t="s">
        <v>20089</v>
      </c>
      <c r="C372" s="156" t="s">
        <v>20089</v>
      </c>
      <c r="D372" s="156" t="s">
        <v>1364</v>
      </c>
      <c r="E372" s="156" t="s">
        <v>20090</v>
      </c>
      <c r="F372" s="157" t="s">
        <v>12</v>
      </c>
      <c r="H372" s="284" t="s">
        <v>20091</v>
      </c>
      <c r="I372" s="284" t="s">
        <v>2055</v>
      </c>
      <c r="J372" s="156" t="str">
        <f t="shared" si="12"/>
        <v>LithiumSales de Jujuy S.A.</v>
      </c>
      <c r="K372" s="156" t="str">
        <f t="shared" si="13"/>
        <v>LithiumSales de Jujuy S.A.</v>
      </c>
    </row>
    <row r="373" spans="1:11">
      <c r="A373" s="156" t="s">
        <v>18687</v>
      </c>
      <c r="B373" s="156" t="s">
        <v>18891</v>
      </c>
      <c r="C373" s="156" t="s">
        <v>20092</v>
      </c>
      <c r="D373" s="156" t="s">
        <v>65</v>
      </c>
      <c r="E373" s="156" t="s">
        <v>18892</v>
      </c>
      <c r="F373" s="157" t="s">
        <v>12</v>
      </c>
      <c r="H373" s="284" t="s">
        <v>19332</v>
      </c>
      <c r="I373" s="284" t="s">
        <v>3224</v>
      </c>
      <c r="J373" s="156" t="str">
        <f t="shared" si="12"/>
        <v>LithiumSichuan CATH Co., Ltd</v>
      </c>
      <c r="K373" s="156" t="str">
        <f t="shared" si="13"/>
        <v>LithiumSichuan CATH Co., Ltd</v>
      </c>
    </row>
    <row r="374" spans="1:11">
      <c r="A374" s="156" t="s">
        <v>18687</v>
      </c>
      <c r="B374" s="156" t="s">
        <v>18893</v>
      </c>
      <c r="C374" s="156" t="s">
        <v>18893</v>
      </c>
      <c r="D374" s="156" t="s">
        <v>65</v>
      </c>
      <c r="E374" s="156" t="s">
        <v>18894</v>
      </c>
      <c r="F374" s="157" t="s">
        <v>12</v>
      </c>
      <c r="H374" s="284" t="s">
        <v>19333</v>
      </c>
      <c r="I374" s="284" t="s">
        <v>3224</v>
      </c>
      <c r="J374" s="156" t="str">
        <f t="shared" si="12"/>
        <v>LithiumSichuan Siterui Lithium Industry Co., Ltd.</v>
      </c>
      <c r="K374" s="156" t="str">
        <f t="shared" si="13"/>
        <v>LithiumSichuan Siterui Lithium Industry Co., Ltd.</v>
      </c>
    </row>
    <row r="375" spans="1:11">
      <c r="A375" s="156" t="s">
        <v>18687</v>
      </c>
      <c r="B375" s="156" t="s">
        <v>18895</v>
      </c>
      <c r="C375" s="156" t="s">
        <v>18895</v>
      </c>
      <c r="D375" s="156" t="s">
        <v>65</v>
      </c>
      <c r="E375" s="156" t="s">
        <v>18896</v>
      </c>
      <c r="F375" s="157" t="s">
        <v>12</v>
      </c>
      <c r="H375" s="284" t="s">
        <v>19333</v>
      </c>
      <c r="I375" s="284" t="s">
        <v>3224</v>
      </c>
      <c r="J375" s="156" t="str">
        <f t="shared" si="12"/>
        <v>LithiumSichuan Zhiyuan Lithium Industries Co., Ltd</v>
      </c>
      <c r="K375" s="156" t="str">
        <f t="shared" si="13"/>
        <v>LithiumSichuan Zhiyuan Lithium Industries Co., Ltd</v>
      </c>
    </row>
    <row r="376" spans="1:11">
      <c r="A376" s="156" t="s">
        <v>18687</v>
      </c>
      <c r="B376" s="156" t="s">
        <v>18897</v>
      </c>
      <c r="C376" s="156" t="s">
        <v>20087</v>
      </c>
      <c r="D376" s="156" t="s">
        <v>1428</v>
      </c>
      <c r="E376" s="156" t="s">
        <v>18899</v>
      </c>
      <c r="F376" s="157" t="s">
        <v>12</v>
      </c>
      <c r="H376" s="284" t="s">
        <v>3152</v>
      </c>
      <c r="I376" s="284" t="s">
        <v>3152</v>
      </c>
      <c r="J376" s="156" t="str">
        <f t="shared" si="12"/>
        <v>LithiumSociedad Quimica y Minera/SQM Lithium (Salar Del Carmen Plant)</v>
      </c>
      <c r="K376" s="156" t="str">
        <f t="shared" si="13"/>
        <v>LithiumSociedad Quimica y Minera/SQM Lithium (Salar Del Carmen Plant)</v>
      </c>
    </row>
    <row r="377" spans="1:11">
      <c r="A377" s="156" t="s">
        <v>18687</v>
      </c>
      <c r="B377" s="156" t="s">
        <v>18900</v>
      </c>
      <c r="C377" s="156" t="s">
        <v>20087</v>
      </c>
      <c r="D377" s="156" t="s">
        <v>1428</v>
      </c>
      <c r="E377" s="156" t="s">
        <v>18899</v>
      </c>
      <c r="F377" s="157" t="s">
        <v>12</v>
      </c>
      <c r="H377" s="284" t="s">
        <v>3152</v>
      </c>
      <c r="I377" s="284" t="s">
        <v>3152</v>
      </c>
      <c r="J377" s="156" t="str">
        <f t="shared" si="12"/>
        <v>LithiumSQM Salar S.A.</v>
      </c>
      <c r="K377" s="156" t="str">
        <f t="shared" si="13"/>
        <v>LithiumSQM Salar S.A.</v>
      </c>
    </row>
    <row r="378" spans="1:11">
      <c r="A378" s="156" t="s">
        <v>18687</v>
      </c>
      <c r="B378" s="156" t="s">
        <v>18898</v>
      </c>
      <c r="C378" s="156" t="s">
        <v>20087</v>
      </c>
      <c r="D378" s="156" t="s">
        <v>1428</v>
      </c>
      <c r="E378" s="156" t="s">
        <v>18899</v>
      </c>
      <c r="F378" s="157" t="s">
        <v>12</v>
      </c>
      <c r="H378" s="284" t="s">
        <v>3152</v>
      </c>
      <c r="I378" s="284" t="s">
        <v>3152</v>
      </c>
      <c r="J378" s="156" t="str">
        <f t="shared" si="12"/>
        <v>LithiumSQM Salar S.A. (Del Carmen Plant)</v>
      </c>
      <c r="K378" s="156" t="str">
        <f t="shared" si="13"/>
        <v>LithiumSQM Salar S.A. (Del Carmen Plant)</v>
      </c>
    </row>
    <row r="379" spans="1:11">
      <c r="A379" s="156" t="s">
        <v>18687</v>
      </c>
      <c r="B379" s="156" t="s">
        <v>20087</v>
      </c>
      <c r="C379" s="156" t="s">
        <v>20087</v>
      </c>
      <c r="D379" s="156" t="s">
        <v>1428</v>
      </c>
      <c r="E379" s="156" t="s">
        <v>18899</v>
      </c>
      <c r="F379" s="157" t="s">
        <v>12</v>
      </c>
      <c r="H379" s="284" t="s">
        <v>3152</v>
      </c>
      <c r="I379" s="284" t="s">
        <v>3152</v>
      </c>
      <c r="J379" s="156" t="str">
        <f t="shared" si="12"/>
        <v>LithiumSQM Salar S.A. (Planta Quimica Litio Carmen)</v>
      </c>
      <c r="K379" s="156" t="str">
        <f t="shared" si="13"/>
        <v>LithiumSQM Salar S.A. (Planta Quimica Litio Carmen)</v>
      </c>
    </row>
    <row r="380" spans="1:11">
      <c r="A380" s="156" t="s">
        <v>18687</v>
      </c>
      <c r="B380" s="156" t="s">
        <v>18901</v>
      </c>
      <c r="C380" s="156" t="s">
        <v>18901</v>
      </c>
      <c r="D380" s="156" t="s">
        <v>65</v>
      </c>
      <c r="E380" s="156" t="s">
        <v>18902</v>
      </c>
      <c r="F380" s="157" t="s">
        <v>12</v>
      </c>
      <c r="H380" s="284" t="s">
        <v>19330</v>
      </c>
      <c r="I380" s="284" t="s">
        <v>3224</v>
      </c>
      <c r="J380" s="156" t="str">
        <f t="shared" si="12"/>
        <v>LithiumSuining Chengxi Lithium Industries Inc.</v>
      </c>
      <c r="K380" s="156" t="str">
        <f t="shared" si="13"/>
        <v>LithiumSuining Chengxi Lithium Industries Inc.</v>
      </c>
    </row>
    <row r="381" spans="1:11">
      <c r="A381" s="156" t="s">
        <v>18687</v>
      </c>
      <c r="B381" s="156" t="s">
        <v>18903</v>
      </c>
      <c r="C381" s="156" t="s">
        <v>18904</v>
      </c>
      <c r="D381" s="156" t="s">
        <v>65</v>
      </c>
      <c r="E381" s="156" t="s">
        <v>18905</v>
      </c>
      <c r="F381" s="157" t="s">
        <v>12</v>
      </c>
      <c r="H381" s="284" t="s">
        <v>19247</v>
      </c>
      <c r="I381" s="284" t="s">
        <v>3224</v>
      </c>
      <c r="J381" s="156" t="str">
        <f t="shared" si="12"/>
        <v>LithiumTianqi</v>
      </c>
      <c r="K381" s="156" t="str">
        <f t="shared" si="13"/>
        <v>LithiumTianqi</v>
      </c>
    </row>
    <row r="382" spans="1:11">
      <c r="A382" s="156" t="s">
        <v>18687</v>
      </c>
      <c r="B382" s="156" t="s">
        <v>18904</v>
      </c>
      <c r="C382" s="156" t="s">
        <v>18904</v>
      </c>
      <c r="D382" s="156" t="s">
        <v>65</v>
      </c>
      <c r="E382" s="156" t="s">
        <v>18905</v>
      </c>
      <c r="F382" s="157" t="s">
        <v>12</v>
      </c>
      <c r="H382" s="284" t="s">
        <v>19247</v>
      </c>
      <c r="I382" s="284" t="s">
        <v>3224</v>
      </c>
      <c r="J382" s="156" t="str">
        <f t="shared" si="12"/>
        <v>LithiumTianqi Lithium (Shehong) Co., Ltd.</v>
      </c>
      <c r="K382" s="156" t="str">
        <f t="shared" si="13"/>
        <v>LithiumTianqi Lithium (Shehong) Co., Ltd.</v>
      </c>
    </row>
    <row r="383" spans="1:11">
      <c r="A383" s="156" t="s">
        <v>18687</v>
      </c>
      <c r="B383" s="156" t="s">
        <v>20092</v>
      </c>
      <c r="C383" s="156" t="s">
        <v>20092</v>
      </c>
      <c r="D383" s="156" t="s">
        <v>65</v>
      </c>
      <c r="E383" s="156" t="s">
        <v>18892</v>
      </c>
      <c r="F383" s="157" t="s">
        <v>12</v>
      </c>
      <c r="H383" s="284" t="s">
        <v>19332</v>
      </c>
      <c r="I383" s="284" t="s">
        <v>3224</v>
      </c>
      <c r="J383" s="156" t="str">
        <f t="shared" si="12"/>
        <v>LithiumTyeeli (Meishan) Co., Ltd.</v>
      </c>
      <c r="K383" s="156" t="str">
        <f t="shared" si="13"/>
        <v>LithiumTyeeli (Meishan) Co., Ltd.</v>
      </c>
    </row>
    <row r="384" spans="1:11">
      <c r="A384" s="156" t="s">
        <v>18687</v>
      </c>
      <c r="B384" s="156" t="s">
        <v>20093</v>
      </c>
      <c r="C384" s="156" t="s">
        <v>20093</v>
      </c>
      <c r="D384" s="156" t="s">
        <v>65</v>
      </c>
      <c r="E384" s="156" t="s">
        <v>18912</v>
      </c>
      <c r="F384" s="157" t="s">
        <v>12</v>
      </c>
      <c r="H384" s="284" t="s">
        <v>19249</v>
      </c>
      <c r="I384" s="284" t="s">
        <v>3224</v>
      </c>
      <c r="J384" s="156" t="str">
        <f t="shared" si="12"/>
        <v>LithiumTyeeli (Yibin) Co., Ltd.</v>
      </c>
      <c r="K384" s="156" t="str">
        <f t="shared" si="13"/>
        <v>LithiumTyeeli (Yibin) Co., Ltd.</v>
      </c>
    </row>
    <row r="385" spans="1:11">
      <c r="A385" s="156" t="s">
        <v>18687</v>
      </c>
      <c r="B385" s="156" t="s">
        <v>18906</v>
      </c>
      <c r="C385" s="156" t="s">
        <v>19279</v>
      </c>
      <c r="D385" s="156" t="s">
        <v>212</v>
      </c>
      <c r="E385" s="156" t="s">
        <v>19280</v>
      </c>
      <c r="F385" s="157" t="s">
        <v>12</v>
      </c>
      <c r="H385" s="284" t="s">
        <v>18906</v>
      </c>
      <c r="I385" s="284" t="s">
        <v>215</v>
      </c>
      <c r="J385" s="156" t="str">
        <f t="shared" si="12"/>
        <v>LithiumWodgina</v>
      </c>
      <c r="K385" s="156" t="str">
        <f t="shared" si="13"/>
        <v>LithiumWodgina</v>
      </c>
    </row>
    <row r="386" spans="1:11">
      <c r="A386" s="156" t="s">
        <v>18687</v>
      </c>
      <c r="B386" s="156" t="s">
        <v>19279</v>
      </c>
      <c r="C386" s="156" t="s">
        <v>19279</v>
      </c>
      <c r="D386" s="156" t="s">
        <v>212</v>
      </c>
      <c r="E386" s="156" t="s">
        <v>19280</v>
      </c>
      <c r="F386" s="157" t="s">
        <v>12</v>
      </c>
      <c r="H386" s="284" t="s">
        <v>18906</v>
      </c>
      <c r="I386" s="284" t="s">
        <v>215</v>
      </c>
      <c r="J386" s="156" t="str">
        <f t="shared" si="12"/>
        <v>LithiumWodgina Lithium Mine</v>
      </c>
      <c r="K386" s="156" t="str">
        <f t="shared" si="13"/>
        <v>LithiumWodgina Lithium Mine</v>
      </c>
    </row>
    <row r="387" spans="1:11">
      <c r="A387" s="156" t="s">
        <v>18687</v>
      </c>
      <c r="B387" s="156" t="s">
        <v>18907</v>
      </c>
      <c r="C387" s="156" t="s">
        <v>20083</v>
      </c>
      <c r="D387" s="156" t="s">
        <v>65</v>
      </c>
      <c r="E387" s="156" t="s">
        <v>18908</v>
      </c>
      <c r="F387" s="157" t="s">
        <v>12</v>
      </c>
      <c r="H387" s="284" t="s">
        <v>18907</v>
      </c>
      <c r="I387" s="284" t="s">
        <v>106</v>
      </c>
      <c r="J387" s="156" t="str">
        <f t="shared" si="12"/>
        <v>LithiumXinyu</v>
      </c>
      <c r="K387" s="156" t="str">
        <f t="shared" si="13"/>
        <v>LithiumXinyu</v>
      </c>
    </row>
    <row r="388" spans="1:11">
      <c r="A388" s="156" t="s">
        <v>18687</v>
      </c>
      <c r="B388" s="156" t="s">
        <v>20094</v>
      </c>
      <c r="C388" s="156" t="s">
        <v>20083</v>
      </c>
      <c r="D388" s="156" t="s">
        <v>65</v>
      </c>
      <c r="E388" s="156" t="s">
        <v>18908</v>
      </c>
      <c r="F388" s="157" t="s">
        <v>12</v>
      </c>
      <c r="H388" s="284" t="s">
        <v>18907</v>
      </c>
      <c r="I388" s="284" t="s">
        <v>106</v>
      </c>
      <c r="J388" s="156" t="str">
        <f t="shared" si="12"/>
        <v>LithiumXinyu Lithium Hydroxide Plant</v>
      </c>
      <c r="K388" s="156" t="str">
        <f t="shared" si="13"/>
        <v>LithiumXinyu Lithium Hydroxide Plant</v>
      </c>
    </row>
    <row r="389" spans="1:11">
      <c r="A389" s="156" t="s">
        <v>18687</v>
      </c>
      <c r="B389" s="156" t="s">
        <v>18909</v>
      </c>
      <c r="C389" s="156" t="s">
        <v>19234</v>
      </c>
      <c r="D389" s="156" t="s">
        <v>65</v>
      </c>
      <c r="E389" s="156" t="s">
        <v>18910</v>
      </c>
      <c r="F389" s="157" t="s">
        <v>12</v>
      </c>
      <c r="H389" s="284" t="s">
        <v>19248</v>
      </c>
      <c r="I389" s="284" t="s">
        <v>3224</v>
      </c>
      <c r="J389" s="156" t="str">
        <f t="shared" si="12"/>
        <v>LithiumYahua</v>
      </c>
      <c r="K389" s="156" t="str">
        <f t="shared" si="13"/>
        <v>LithiumYahua</v>
      </c>
    </row>
    <row r="390" spans="1:11">
      <c r="A390" s="156" t="s">
        <v>18687</v>
      </c>
      <c r="B390" s="156" t="s">
        <v>19234</v>
      </c>
      <c r="C390" s="156" t="s">
        <v>19234</v>
      </c>
      <c r="D390" s="156" t="s">
        <v>65</v>
      </c>
      <c r="E390" s="156" t="s">
        <v>18910</v>
      </c>
      <c r="F390" s="157" t="s">
        <v>12</v>
      </c>
      <c r="H390" s="284" t="s">
        <v>19248</v>
      </c>
      <c r="I390" s="284" t="s">
        <v>3224</v>
      </c>
      <c r="J390" s="156" t="str">
        <f t="shared" si="12"/>
        <v>LithiumYahua Lithium Industry (Ya’an) Co., Ltd.</v>
      </c>
      <c r="K390" s="156" t="str">
        <f t="shared" si="13"/>
        <v>LithiumYahua Lithium Industry (Ya’an) Co., Ltd.</v>
      </c>
    </row>
    <row r="391" spans="1:11">
      <c r="A391" s="156" t="s">
        <v>18687</v>
      </c>
      <c r="B391" s="156" t="s">
        <v>18911</v>
      </c>
      <c r="C391" s="156" t="s">
        <v>20093</v>
      </c>
      <c r="D391" s="156" t="s">
        <v>65</v>
      </c>
      <c r="E391" s="156" t="s">
        <v>18912</v>
      </c>
      <c r="F391" s="157" t="s">
        <v>12</v>
      </c>
      <c r="H391" s="284" t="s">
        <v>19249</v>
      </c>
      <c r="I391" s="284" t="s">
        <v>3224</v>
      </c>
      <c r="J391" s="156" t="str">
        <f t="shared" si="12"/>
        <v>LithiumYibin Tianyi Lithium Industry Co., Ltd.</v>
      </c>
      <c r="K391" s="156" t="str">
        <f t="shared" si="13"/>
        <v>LithiumYibin Tianyi Lithium Industry Co., Ltd.</v>
      </c>
    </row>
    <row r="392" spans="1:11">
      <c r="A392" s="156" t="s">
        <v>18687</v>
      </c>
      <c r="B392" s="156" t="s">
        <v>12244</v>
      </c>
      <c r="C392" s="156" t="s">
        <v>12244</v>
      </c>
      <c r="D392" s="156" t="s">
        <v>65</v>
      </c>
      <c r="E392" s="156" t="s">
        <v>18913</v>
      </c>
      <c r="F392" s="157" t="s">
        <v>12</v>
      </c>
      <c r="H392" s="284" t="s">
        <v>197</v>
      </c>
      <c r="I392" s="284" t="s">
        <v>198</v>
      </c>
      <c r="J392" s="156" t="str">
        <f t="shared" ref="J392:J455" si="14">A392&amp;B392</f>
        <v>LithiumZhejiang New Era Zhongneng Technology Co., Ltd.</v>
      </c>
      <c r="K392" s="156" t="str">
        <f t="shared" ref="K392:K455" si="15">A392&amp;B392</f>
        <v>LithiumZhejiang New Era Zhongneng Technology Co., Ltd.</v>
      </c>
    </row>
    <row r="393" spans="1:11">
      <c r="A393" s="156" t="s">
        <v>18687</v>
      </c>
      <c r="B393" s="156" t="s">
        <v>298</v>
      </c>
      <c r="H393" s="284"/>
      <c r="I393" s="284"/>
      <c r="J393" s="156" t="str">
        <f t="shared" si="14"/>
        <v>LithiumSmelter not listed</v>
      </c>
      <c r="K393" s="156" t="str">
        <f t="shared" si="15"/>
        <v>LithiumSmelter not listed</v>
      </c>
    </row>
    <row r="394" spans="1:11">
      <c r="A394" s="156" t="s">
        <v>18687</v>
      </c>
      <c r="B394" s="156" t="s">
        <v>45</v>
      </c>
      <c r="C394" s="156" t="s">
        <v>26</v>
      </c>
      <c r="H394" s="284"/>
      <c r="I394" s="284"/>
      <c r="J394" s="156" t="str">
        <f t="shared" si="14"/>
        <v>LithiumSmelter not yet identified</v>
      </c>
      <c r="K394" s="156" t="str">
        <f t="shared" si="15"/>
        <v>LithiumSmelter not yet identified</v>
      </c>
    </row>
    <row r="395" spans="1:11">
      <c r="A395" s="156" t="s">
        <v>41</v>
      </c>
      <c r="B395" s="156" t="s">
        <v>299</v>
      </c>
      <c r="C395" s="156" t="s">
        <v>299</v>
      </c>
      <c r="D395" s="156" t="s">
        <v>300</v>
      </c>
      <c r="E395" s="156" t="s">
        <v>301</v>
      </c>
      <c r="F395" s="157" t="s">
        <v>12</v>
      </c>
      <c r="H395" s="284" t="s">
        <v>302</v>
      </c>
      <c r="I395" s="284" t="s">
        <v>303</v>
      </c>
      <c r="J395" s="156" t="str">
        <f t="shared" si="14"/>
        <v>MicaArctic Minerals, LLC</v>
      </c>
      <c r="K395" s="156" t="str">
        <f t="shared" si="15"/>
        <v>MicaArctic Minerals, LLC</v>
      </c>
    </row>
    <row r="396" spans="1:11">
      <c r="A396" s="156" t="s">
        <v>41</v>
      </c>
      <c r="B396" s="156" t="s">
        <v>12323</v>
      </c>
      <c r="C396" s="156" t="s">
        <v>12323</v>
      </c>
      <c r="D396" s="156" t="s">
        <v>65</v>
      </c>
      <c r="E396" s="156" t="s">
        <v>12324</v>
      </c>
      <c r="F396" s="157" t="s">
        <v>12</v>
      </c>
      <c r="H396" s="284" t="s">
        <v>12337</v>
      </c>
      <c r="I396" s="284" t="s">
        <v>3238</v>
      </c>
      <c r="J396" s="156" t="str">
        <f t="shared" si="14"/>
        <v>MicaBaotou Fuguang Trading Co., Ltd. Guyang Branch</v>
      </c>
      <c r="K396" s="156" t="str">
        <f t="shared" si="15"/>
        <v>MicaBaotou Fuguang Trading Co., Ltd. Guyang Branch</v>
      </c>
    </row>
    <row r="397" spans="1:11">
      <c r="A397" s="156" t="s">
        <v>41</v>
      </c>
      <c r="B397" s="156" t="s">
        <v>12325</v>
      </c>
      <c r="C397" s="156" t="s">
        <v>12325</v>
      </c>
      <c r="D397" s="156" t="s">
        <v>1746</v>
      </c>
      <c r="E397" s="156" t="s">
        <v>12326</v>
      </c>
      <c r="F397" s="157" t="s">
        <v>12</v>
      </c>
      <c r="H397" s="284" t="s">
        <v>12338</v>
      </c>
      <c r="I397" s="284" t="s">
        <v>4073</v>
      </c>
      <c r="J397" s="156" t="str">
        <f t="shared" si="14"/>
        <v>MicaCaolines de Vimianzo, SAU ( aka CAVISA)</v>
      </c>
      <c r="K397" s="156" t="str">
        <f t="shared" si="15"/>
        <v>MicaCaolines de Vimianzo, SAU ( aka CAVISA)</v>
      </c>
    </row>
    <row r="398" spans="1:11">
      <c r="A398" s="156" t="s">
        <v>41</v>
      </c>
      <c r="B398" s="156" t="s">
        <v>304</v>
      </c>
      <c r="C398" s="156" t="s">
        <v>304</v>
      </c>
      <c r="D398" s="156" t="s">
        <v>305</v>
      </c>
      <c r="E398" s="156" t="s">
        <v>306</v>
      </c>
      <c r="F398" s="157" t="s">
        <v>12</v>
      </c>
      <c r="H398" s="284" t="s">
        <v>307</v>
      </c>
      <c r="I398" s="284" t="s">
        <v>5612</v>
      </c>
      <c r="J398" s="156" t="str">
        <f t="shared" si="14"/>
        <v>MicaDARUKA INTERNATIONAL</v>
      </c>
      <c r="K398" s="156" t="str">
        <f t="shared" si="15"/>
        <v>MicaDARUKA INTERNATIONAL</v>
      </c>
    </row>
    <row r="399" spans="1:11">
      <c r="A399" s="156" t="s">
        <v>41</v>
      </c>
      <c r="B399" s="156" t="s">
        <v>12102</v>
      </c>
      <c r="C399" s="156" t="s">
        <v>12102</v>
      </c>
      <c r="D399" s="156" t="s">
        <v>305</v>
      </c>
      <c r="E399" s="156" t="s">
        <v>12101</v>
      </c>
      <c r="F399" s="157" t="s">
        <v>12</v>
      </c>
      <c r="H399" s="284" t="s">
        <v>12103</v>
      </c>
      <c r="I399" s="284" t="s">
        <v>12265</v>
      </c>
      <c r="J399" s="156" t="str">
        <f t="shared" si="14"/>
        <v>MicaDARUKA MINCHEM PVT.LTD</v>
      </c>
      <c r="K399" s="156" t="str">
        <f t="shared" si="15"/>
        <v>MicaDARUKA MINCHEM PVT.LTD</v>
      </c>
    </row>
    <row r="400" spans="1:11">
      <c r="A400" s="156" t="s">
        <v>41</v>
      </c>
      <c r="B400" s="156" t="s">
        <v>308</v>
      </c>
      <c r="C400" s="156" t="s">
        <v>308</v>
      </c>
      <c r="D400" s="156" t="s">
        <v>305</v>
      </c>
      <c r="E400" s="156" t="s">
        <v>309</v>
      </c>
      <c r="F400" s="157" t="s">
        <v>12</v>
      </c>
      <c r="H400" s="284" t="s">
        <v>310</v>
      </c>
      <c r="I400" s="284" t="s">
        <v>12261</v>
      </c>
      <c r="J400" s="156" t="str">
        <f t="shared" si="14"/>
        <v>MicaDARUKA MINERALS</v>
      </c>
      <c r="K400" s="156" t="str">
        <f t="shared" si="15"/>
        <v>MicaDARUKA MINERALS</v>
      </c>
    </row>
    <row r="401" spans="1:11">
      <c r="A401" s="156" t="s">
        <v>41</v>
      </c>
      <c r="B401" s="156" t="s">
        <v>311</v>
      </c>
      <c r="C401" s="156" t="s">
        <v>311</v>
      </c>
      <c r="D401" s="156" t="s">
        <v>305</v>
      </c>
      <c r="E401" s="156" t="s">
        <v>312</v>
      </c>
      <c r="F401" s="157" t="s">
        <v>12</v>
      </c>
      <c r="H401" s="284" t="s">
        <v>313</v>
      </c>
      <c r="I401" s="284" t="s">
        <v>314</v>
      </c>
      <c r="J401" s="156" t="str">
        <f t="shared" si="14"/>
        <v>MicaG. K. INTERNATIONAL</v>
      </c>
      <c r="K401" s="156" t="str">
        <f t="shared" si="15"/>
        <v>MicaG. K. INTERNATIONAL</v>
      </c>
    </row>
    <row r="402" spans="1:11">
      <c r="A402" s="156" t="s">
        <v>41</v>
      </c>
      <c r="B402" s="156" t="s">
        <v>12105</v>
      </c>
      <c r="C402" s="156" t="s">
        <v>12105</v>
      </c>
      <c r="D402" s="156" t="s">
        <v>65</v>
      </c>
      <c r="E402" s="156" t="s">
        <v>12104</v>
      </c>
      <c r="F402" s="157" t="s">
        <v>12</v>
      </c>
      <c r="H402" s="284" t="s">
        <v>12106</v>
      </c>
      <c r="I402" s="284" t="s">
        <v>93</v>
      </c>
      <c r="J402" s="156" t="str">
        <f t="shared" si="14"/>
        <v>MicaHEBEI LINGSHOU COUNTY ZHONGKE MINERAL POWDER CO., LTD.</v>
      </c>
      <c r="K402" s="156" t="str">
        <f t="shared" si="15"/>
        <v>MicaHEBEI LINGSHOU COUNTY ZHONGKE MINERAL POWDER CO., LTD.</v>
      </c>
    </row>
    <row r="403" spans="1:11">
      <c r="A403" s="156" t="s">
        <v>41</v>
      </c>
      <c r="B403" s="156" t="s">
        <v>12108</v>
      </c>
      <c r="C403" s="156" t="s">
        <v>12108</v>
      </c>
      <c r="D403" s="156" t="s">
        <v>65</v>
      </c>
      <c r="E403" s="156" t="s">
        <v>12107</v>
      </c>
      <c r="F403" s="157" t="s">
        <v>12</v>
      </c>
      <c r="H403" s="284" t="s">
        <v>12109</v>
      </c>
      <c r="I403" s="284" t="s">
        <v>143</v>
      </c>
      <c r="J403" s="156" t="str">
        <f t="shared" si="14"/>
        <v>MicaHunan Rongtai New Material Co., Ltd.</v>
      </c>
      <c r="K403" s="156" t="str">
        <f t="shared" si="15"/>
        <v>MicaHunan Rongtai New Material Co., Ltd.</v>
      </c>
    </row>
    <row r="404" spans="1:11">
      <c r="A404" s="156" t="s">
        <v>41</v>
      </c>
      <c r="B404" s="156" t="s">
        <v>315</v>
      </c>
      <c r="C404" s="156" t="s">
        <v>315</v>
      </c>
      <c r="D404" s="156" t="s">
        <v>95</v>
      </c>
      <c r="E404" s="156" t="s">
        <v>316</v>
      </c>
      <c r="F404" s="157" t="s">
        <v>12</v>
      </c>
      <c r="H404" s="284" t="s">
        <v>317</v>
      </c>
      <c r="I404" s="284" t="s">
        <v>318</v>
      </c>
      <c r="J404" s="156" t="str">
        <f t="shared" si="14"/>
        <v>MicaImerys Canada, Inc.</v>
      </c>
      <c r="K404" s="156" t="str">
        <f t="shared" si="15"/>
        <v>MicaImerys Canada, Inc.</v>
      </c>
    </row>
    <row r="405" spans="1:11">
      <c r="A405" s="156" t="s">
        <v>41</v>
      </c>
      <c r="B405" s="156" t="s">
        <v>319</v>
      </c>
      <c r="C405" s="156" t="s">
        <v>319</v>
      </c>
      <c r="D405" s="156" t="s">
        <v>300</v>
      </c>
      <c r="E405" s="156" t="s">
        <v>320</v>
      </c>
      <c r="F405" s="157" t="s">
        <v>12</v>
      </c>
      <c r="H405" s="284" t="s">
        <v>321</v>
      </c>
      <c r="I405" s="284" t="s">
        <v>322</v>
      </c>
      <c r="J405" s="156" t="str">
        <f t="shared" si="14"/>
        <v>MicaImerys Mica Kings Mountain, Inc.</v>
      </c>
      <c r="K405" s="156" t="str">
        <f t="shared" si="15"/>
        <v>MicaImerys Mica Kings Mountain, Inc.</v>
      </c>
    </row>
    <row r="406" spans="1:11">
      <c r="A406" s="156" t="s">
        <v>41</v>
      </c>
      <c r="B406" s="156" t="s">
        <v>323</v>
      </c>
      <c r="C406" s="156" t="s">
        <v>323</v>
      </c>
      <c r="D406" s="156" t="s">
        <v>173</v>
      </c>
      <c r="E406" s="156" t="s">
        <v>324</v>
      </c>
      <c r="F406" s="157" t="s">
        <v>12</v>
      </c>
      <c r="H406" s="284" t="s">
        <v>325</v>
      </c>
      <c r="I406" s="284" t="s">
        <v>326</v>
      </c>
      <c r="J406" s="156" t="str">
        <f t="shared" si="14"/>
        <v>MicaJSC “Sludyanaya Fabrika”</v>
      </c>
      <c r="K406" s="156" t="str">
        <f t="shared" si="15"/>
        <v>MicaJSC “Sludyanaya Fabrika”</v>
      </c>
    </row>
    <row r="407" spans="1:11">
      <c r="A407" s="156" t="s">
        <v>41</v>
      </c>
      <c r="B407" s="156" t="s">
        <v>12327</v>
      </c>
      <c r="C407" s="156" t="s">
        <v>12327</v>
      </c>
      <c r="D407" s="156" t="s">
        <v>65</v>
      </c>
      <c r="E407" s="156" t="s">
        <v>12328</v>
      </c>
      <c r="F407" s="157" t="s">
        <v>12</v>
      </c>
      <c r="H407" s="284" t="s">
        <v>12339</v>
      </c>
      <c r="I407" s="284" t="s">
        <v>93</v>
      </c>
      <c r="J407" s="156" t="str">
        <f t="shared" si="14"/>
        <v>MicaKehui Mica Co., Ltd.</v>
      </c>
      <c r="K407" s="156" t="str">
        <f t="shared" si="15"/>
        <v>MicaKehui Mica Co., Ltd.</v>
      </c>
    </row>
    <row r="408" spans="1:11">
      <c r="A408" s="156" t="s">
        <v>41</v>
      </c>
      <c r="B408" s="156" t="s">
        <v>327</v>
      </c>
      <c r="C408" s="156" t="s">
        <v>327</v>
      </c>
      <c r="D408" s="156" t="s">
        <v>305</v>
      </c>
      <c r="E408" s="156" t="s">
        <v>328</v>
      </c>
      <c r="F408" s="157" t="s">
        <v>12</v>
      </c>
      <c r="H408" s="284" t="s">
        <v>310</v>
      </c>
      <c r="I408" s="284" t="s">
        <v>12261</v>
      </c>
      <c r="J408" s="156" t="str">
        <f t="shared" si="14"/>
        <v>MicaLAXIM MINERALS CORPORATION</v>
      </c>
      <c r="K408" s="156" t="str">
        <f t="shared" si="15"/>
        <v>MicaLAXIM MINERALS CORPORATION</v>
      </c>
    </row>
    <row r="409" spans="1:11">
      <c r="A409" s="156" t="s">
        <v>41</v>
      </c>
      <c r="B409" s="156" t="s">
        <v>12329</v>
      </c>
      <c r="C409" s="156" t="s">
        <v>12329</v>
      </c>
      <c r="D409" s="156" t="s">
        <v>65</v>
      </c>
      <c r="E409" s="156" t="s">
        <v>12330</v>
      </c>
      <c r="F409" s="157" t="s">
        <v>12</v>
      </c>
      <c r="H409" s="284" t="s">
        <v>12340</v>
      </c>
      <c r="I409" s="284" t="s">
        <v>93</v>
      </c>
      <c r="J409" s="156" t="str">
        <f t="shared" si="14"/>
        <v>MicaLingshou Huajing Mica Co., Ltd.</v>
      </c>
      <c r="K409" s="156" t="str">
        <f t="shared" si="15"/>
        <v>MicaLingshou Huajing Mica Co., Ltd.</v>
      </c>
    </row>
    <row r="410" spans="1:11">
      <c r="A410" s="156" t="s">
        <v>41</v>
      </c>
      <c r="B410" s="156" t="s">
        <v>12331</v>
      </c>
      <c r="C410" s="156" t="s">
        <v>12331</v>
      </c>
      <c r="D410" s="156" t="s">
        <v>101</v>
      </c>
      <c r="E410" s="156" t="s">
        <v>12332</v>
      </c>
      <c r="F410" s="157" t="s">
        <v>12</v>
      </c>
      <c r="H410" s="284" t="s">
        <v>12341</v>
      </c>
      <c r="I410" s="284" t="s">
        <v>4198</v>
      </c>
      <c r="J410" s="156" t="str">
        <f t="shared" si="14"/>
        <v>MicaLKAB Minerals Oy</v>
      </c>
      <c r="K410" s="156" t="str">
        <f t="shared" si="15"/>
        <v>MicaLKAB Minerals Oy</v>
      </c>
    </row>
    <row r="411" spans="1:11">
      <c r="A411" s="156" t="s">
        <v>41</v>
      </c>
      <c r="B411" s="156" t="s">
        <v>12111</v>
      </c>
      <c r="C411" s="156" t="s">
        <v>12111</v>
      </c>
      <c r="D411" s="156" t="s">
        <v>65</v>
      </c>
      <c r="E411" s="156" t="s">
        <v>12110</v>
      </c>
      <c r="F411" s="157" t="s">
        <v>12</v>
      </c>
      <c r="H411" s="284" t="s">
        <v>12112</v>
      </c>
      <c r="I411" s="284" t="s">
        <v>122</v>
      </c>
      <c r="J411" s="156" t="str">
        <f t="shared" si="14"/>
        <v>MicaMica Electrical Material (Luhe) Co., Ltd.</v>
      </c>
      <c r="K411" s="156" t="str">
        <f t="shared" si="15"/>
        <v>MicaMica Electrical Material (Luhe) Co., Ltd.</v>
      </c>
    </row>
    <row r="412" spans="1:11">
      <c r="A412" s="156" t="s">
        <v>41</v>
      </c>
      <c r="B412" s="156" t="s">
        <v>12114</v>
      </c>
      <c r="C412" s="156" t="s">
        <v>12114</v>
      </c>
      <c r="D412" s="156" t="s">
        <v>1746</v>
      </c>
      <c r="E412" s="156" t="s">
        <v>12113</v>
      </c>
      <c r="F412" s="157" t="s">
        <v>12</v>
      </c>
      <c r="H412" s="284" t="s">
        <v>12115</v>
      </c>
      <c r="I412" s="284" t="s">
        <v>4063</v>
      </c>
      <c r="J412" s="156" t="str">
        <f t="shared" si="14"/>
        <v>MicaMinerals i Derivats, S.A.</v>
      </c>
      <c r="K412" s="156" t="str">
        <f t="shared" si="15"/>
        <v>MicaMinerals i Derivats, S.A.</v>
      </c>
    </row>
    <row r="413" spans="1:11">
      <c r="A413" s="156" t="s">
        <v>41</v>
      </c>
      <c r="B413" s="156" t="s">
        <v>12333</v>
      </c>
      <c r="C413" s="156" t="s">
        <v>12333</v>
      </c>
      <c r="D413" s="156" t="s">
        <v>87</v>
      </c>
      <c r="E413" s="156" t="s">
        <v>12334</v>
      </c>
      <c r="F413" s="157" t="s">
        <v>12</v>
      </c>
      <c r="H413" s="284" t="s">
        <v>12342</v>
      </c>
      <c r="I413" s="284" t="s">
        <v>7621</v>
      </c>
      <c r="J413" s="156" t="str">
        <f t="shared" si="14"/>
        <v>MicaMK Import Export</v>
      </c>
      <c r="K413" s="156" t="str">
        <f t="shared" si="15"/>
        <v>MicaMK Import Export</v>
      </c>
    </row>
    <row r="414" spans="1:11">
      <c r="A414" s="156" t="s">
        <v>41</v>
      </c>
      <c r="B414" s="156" t="s">
        <v>329</v>
      </c>
      <c r="C414" s="156" t="s">
        <v>330</v>
      </c>
      <c r="D414" s="156" t="s">
        <v>305</v>
      </c>
      <c r="E414" s="156" t="s">
        <v>331</v>
      </c>
      <c r="F414" s="157" t="s">
        <v>12</v>
      </c>
      <c r="H414" s="284" t="s">
        <v>310</v>
      </c>
      <c r="I414" s="284" t="s">
        <v>12261</v>
      </c>
      <c r="J414" s="156" t="str">
        <f t="shared" si="14"/>
        <v>MicaMODI MICA ENTERPRISES</v>
      </c>
      <c r="K414" s="156" t="str">
        <f t="shared" si="15"/>
        <v>MicaMODI MICA ENTERPRISES</v>
      </c>
    </row>
    <row r="415" spans="1:11">
      <c r="A415" s="156" t="s">
        <v>41</v>
      </c>
      <c r="B415" s="156" t="s">
        <v>332</v>
      </c>
      <c r="C415" s="156" t="s">
        <v>332</v>
      </c>
      <c r="D415" s="156" t="s">
        <v>65</v>
      </c>
      <c r="E415" s="156" t="s">
        <v>333</v>
      </c>
      <c r="F415" s="157" t="s">
        <v>12</v>
      </c>
      <c r="H415" s="284" t="s">
        <v>222</v>
      </c>
      <c r="I415" s="284" t="s">
        <v>114</v>
      </c>
      <c r="J415" s="156" t="str">
        <f t="shared" si="14"/>
        <v>MicaNanjing Jinyun Mica Ltd.</v>
      </c>
      <c r="K415" s="156" t="str">
        <f t="shared" si="15"/>
        <v>MicaNanjing Jinyun Mica Ltd.</v>
      </c>
    </row>
    <row r="416" spans="1:11">
      <c r="A416" s="156" t="s">
        <v>41</v>
      </c>
      <c r="B416" s="156" t="s">
        <v>334</v>
      </c>
      <c r="C416" s="156" t="s">
        <v>334</v>
      </c>
      <c r="D416" s="156" t="s">
        <v>305</v>
      </c>
      <c r="E416" s="156" t="s">
        <v>335</v>
      </c>
      <c r="F416" s="157" t="s">
        <v>12</v>
      </c>
      <c r="H416" s="284" t="s">
        <v>310</v>
      </c>
      <c r="I416" s="284" t="s">
        <v>12261</v>
      </c>
      <c r="J416" s="156" t="str">
        <f t="shared" si="14"/>
        <v>MicaPachisia &amp; Co.</v>
      </c>
      <c r="K416" s="156" t="str">
        <f t="shared" si="15"/>
        <v>MicaPachisia &amp; Co.</v>
      </c>
    </row>
    <row r="417" spans="1:11">
      <c r="A417" s="156" t="s">
        <v>41</v>
      </c>
      <c r="B417" s="156" t="s">
        <v>336</v>
      </c>
      <c r="C417" s="156" t="s">
        <v>336</v>
      </c>
      <c r="D417" s="156" t="s">
        <v>300</v>
      </c>
      <c r="E417" s="156" t="s">
        <v>337</v>
      </c>
      <c r="F417" s="157" t="s">
        <v>12</v>
      </c>
      <c r="H417" s="284" t="s">
        <v>338</v>
      </c>
      <c r="I417" s="284" t="s">
        <v>339</v>
      </c>
      <c r="J417" s="156" t="str">
        <f t="shared" si="14"/>
        <v>MicaSoutheastern Performance Minerals, LLC</v>
      </c>
      <c r="K417" s="156" t="str">
        <f t="shared" si="15"/>
        <v>MicaSoutheastern Performance Minerals, LLC</v>
      </c>
    </row>
    <row r="418" spans="1:11">
      <c r="A418" s="156" t="s">
        <v>41</v>
      </c>
      <c r="B418" s="156" t="s">
        <v>12117</v>
      </c>
      <c r="C418" s="156" t="s">
        <v>12117</v>
      </c>
      <c r="D418" s="156" t="s">
        <v>305</v>
      </c>
      <c r="E418" s="156" t="s">
        <v>12116</v>
      </c>
      <c r="F418" s="157" t="s">
        <v>12</v>
      </c>
      <c r="H418" s="284" t="s">
        <v>12118</v>
      </c>
      <c r="I418" s="284" t="s">
        <v>5597</v>
      </c>
      <c r="J418" s="156" t="str">
        <f t="shared" si="14"/>
        <v>MicaSUBLIME MICA EXPORTS</v>
      </c>
      <c r="K418" s="156" t="str">
        <f t="shared" si="15"/>
        <v>MicaSUBLIME MICA EXPORTS</v>
      </c>
    </row>
    <row r="419" spans="1:11">
      <c r="A419" s="156" t="s">
        <v>41</v>
      </c>
      <c r="B419" s="156" t="s">
        <v>12335</v>
      </c>
      <c r="C419" s="156" t="s">
        <v>12335</v>
      </c>
      <c r="D419" s="156" t="s">
        <v>87</v>
      </c>
      <c r="E419" s="156" t="s">
        <v>12336</v>
      </c>
      <c r="F419" s="157" t="s">
        <v>12</v>
      </c>
      <c r="H419" s="284" t="s">
        <v>12342</v>
      </c>
      <c r="I419" s="284" t="s">
        <v>7621</v>
      </c>
      <c r="J419" s="156" t="str">
        <f t="shared" si="14"/>
        <v>MicaSuper Market Fort Dauphin</v>
      </c>
      <c r="K419" s="156" t="str">
        <f t="shared" si="15"/>
        <v>MicaSuper Market Fort Dauphin</v>
      </c>
    </row>
    <row r="420" spans="1:11">
      <c r="A420" s="156" t="s">
        <v>41</v>
      </c>
      <c r="B420" s="156" t="s">
        <v>20095</v>
      </c>
      <c r="C420" s="156" t="s">
        <v>20095</v>
      </c>
      <c r="D420" s="156" t="s">
        <v>81</v>
      </c>
      <c r="E420" s="156" t="s">
        <v>20096</v>
      </c>
      <c r="F420" s="157" t="s">
        <v>12</v>
      </c>
      <c r="H420" s="284" t="s">
        <v>20097</v>
      </c>
      <c r="I420" s="284" t="s">
        <v>6465</v>
      </c>
      <c r="J420" s="156" t="str">
        <f t="shared" si="14"/>
        <v>MicaSWECO Gumi Factory</v>
      </c>
      <c r="K420" s="156" t="str">
        <f t="shared" si="15"/>
        <v>MicaSWECO Gumi Factory</v>
      </c>
    </row>
    <row r="421" spans="1:11">
      <c r="A421" s="156" t="s">
        <v>41</v>
      </c>
      <c r="B421" s="156" t="s">
        <v>12246</v>
      </c>
      <c r="C421" s="156" t="s">
        <v>12246</v>
      </c>
      <c r="D421" s="156" t="s">
        <v>305</v>
      </c>
      <c r="E421" s="156" t="s">
        <v>12247</v>
      </c>
      <c r="F421" s="157" t="s">
        <v>12</v>
      </c>
      <c r="H421" s="284" t="s">
        <v>12248</v>
      </c>
      <c r="I421" s="284" t="s">
        <v>20098</v>
      </c>
      <c r="J421" s="156" t="str">
        <f t="shared" si="14"/>
        <v>MicaThe Jai Mica Supply Co., PVT Ltd.</v>
      </c>
      <c r="K421" s="156" t="str">
        <f t="shared" si="15"/>
        <v>MicaThe Jai Mica Supply Co., PVT Ltd.</v>
      </c>
    </row>
    <row r="422" spans="1:11">
      <c r="A422" s="156" t="s">
        <v>41</v>
      </c>
      <c r="B422" s="156" t="s">
        <v>12249</v>
      </c>
      <c r="C422" s="156" t="s">
        <v>12246</v>
      </c>
      <c r="D422" s="156" t="s">
        <v>305</v>
      </c>
      <c r="E422" s="156" t="s">
        <v>12247</v>
      </c>
      <c r="F422" s="157" t="s">
        <v>12</v>
      </c>
      <c r="H422" s="284" t="s">
        <v>12248</v>
      </c>
      <c r="I422" s="284" t="s">
        <v>20098</v>
      </c>
      <c r="J422" s="156" t="str">
        <f t="shared" si="14"/>
        <v>MicaThe JAI Mica Supply Company Limited</v>
      </c>
      <c r="K422" s="156" t="str">
        <f t="shared" si="15"/>
        <v>MicaThe JAI Mica Supply Company Limited</v>
      </c>
    </row>
    <row r="423" spans="1:11">
      <c r="A423" s="156" t="s">
        <v>41</v>
      </c>
      <c r="B423" s="156" t="s">
        <v>340</v>
      </c>
      <c r="C423" s="156" t="s">
        <v>341</v>
      </c>
      <c r="D423" s="156" t="s">
        <v>342</v>
      </c>
      <c r="E423" s="156" t="s">
        <v>343</v>
      </c>
      <c r="F423" s="157" t="s">
        <v>12</v>
      </c>
      <c r="H423" s="284" t="s">
        <v>344</v>
      </c>
      <c r="I423" s="284" t="s">
        <v>345</v>
      </c>
      <c r="J423" s="156" t="str">
        <f t="shared" si="14"/>
        <v>MicaVon Roll Brazil Ltd.</v>
      </c>
      <c r="K423" s="156" t="str">
        <f t="shared" si="15"/>
        <v>MicaVon Roll Brazil Ltd.</v>
      </c>
    </row>
    <row r="424" spans="1:11">
      <c r="A424" s="156" t="s">
        <v>41</v>
      </c>
      <c r="B424" s="156" t="s">
        <v>341</v>
      </c>
      <c r="C424" s="156" t="s">
        <v>341</v>
      </c>
      <c r="D424" s="156" t="s">
        <v>342</v>
      </c>
      <c r="E424" s="156" t="s">
        <v>343</v>
      </c>
      <c r="F424" s="157" t="s">
        <v>12</v>
      </c>
      <c r="H424" s="284" t="s">
        <v>344</v>
      </c>
      <c r="I424" s="284" t="s">
        <v>345</v>
      </c>
      <c r="J424" s="156" t="str">
        <f t="shared" si="14"/>
        <v>MicaVON ROLL BRAZIL LTDA</v>
      </c>
      <c r="K424" s="156" t="str">
        <f t="shared" si="15"/>
        <v>MicaVON ROLL BRAZIL LTDA</v>
      </c>
    </row>
    <row r="425" spans="1:11">
      <c r="A425" s="156" t="s">
        <v>41</v>
      </c>
      <c r="B425" s="156" t="s">
        <v>346</v>
      </c>
      <c r="C425" s="156" t="s">
        <v>341</v>
      </c>
      <c r="D425" s="156" t="s">
        <v>342</v>
      </c>
      <c r="E425" s="156" t="s">
        <v>343</v>
      </c>
      <c r="F425" s="157" t="s">
        <v>12</v>
      </c>
      <c r="H425" s="284" t="s">
        <v>344</v>
      </c>
      <c r="I425" s="284" t="s">
        <v>345</v>
      </c>
      <c r="J425" s="156" t="str">
        <f t="shared" si="14"/>
        <v>MicaVon Roll do Brasil Ltda</v>
      </c>
      <c r="K425" s="156" t="str">
        <f t="shared" si="15"/>
        <v>MicaVon Roll do Brasil Ltda</v>
      </c>
    </row>
    <row r="426" spans="1:11">
      <c r="A426" s="156" t="s">
        <v>41</v>
      </c>
      <c r="B426" s="156" t="s">
        <v>347</v>
      </c>
      <c r="C426" s="156" t="s">
        <v>347</v>
      </c>
      <c r="D426" s="156" t="s">
        <v>133</v>
      </c>
      <c r="E426" s="156" t="s">
        <v>348</v>
      </c>
      <c r="F426" s="157" t="s">
        <v>12</v>
      </c>
      <c r="H426" s="284" t="s">
        <v>349</v>
      </c>
      <c r="I426" s="284" t="s">
        <v>350</v>
      </c>
      <c r="J426" s="156" t="str">
        <f t="shared" si="14"/>
        <v>MicaYamaguchi Mica</v>
      </c>
      <c r="K426" s="156" t="str">
        <f t="shared" si="15"/>
        <v>MicaYamaguchi Mica</v>
      </c>
    </row>
    <row r="427" spans="1:11">
      <c r="A427" s="156" t="s">
        <v>41</v>
      </c>
      <c r="B427" s="156" t="s">
        <v>12120</v>
      </c>
      <c r="C427" s="156" t="s">
        <v>12120</v>
      </c>
      <c r="D427" s="156" t="s">
        <v>133</v>
      </c>
      <c r="E427" s="156" t="s">
        <v>12119</v>
      </c>
      <c r="F427" s="157" t="s">
        <v>12</v>
      </c>
      <c r="H427" s="284" t="s">
        <v>12123</v>
      </c>
      <c r="I427" s="284" t="s">
        <v>350</v>
      </c>
      <c r="J427" s="156" t="str">
        <f t="shared" si="14"/>
        <v>MicaYamaguchi Mica Co., Ltd. Shinshiro Factory</v>
      </c>
      <c r="K427" s="156" t="str">
        <f t="shared" si="15"/>
        <v>MicaYamaguchi Mica Co., Ltd. Shinshiro Factory</v>
      </c>
    </row>
    <row r="428" spans="1:11">
      <c r="A428" s="156" t="s">
        <v>41</v>
      </c>
      <c r="B428" s="156" t="s">
        <v>12122</v>
      </c>
      <c r="C428" s="156" t="s">
        <v>12122</v>
      </c>
      <c r="D428" s="156" t="s">
        <v>133</v>
      </c>
      <c r="E428" s="156" t="s">
        <v>12121</v>
      </c>
      <c r="F428" s="157" t="s">
        <v>12</v>
      </c>
      <c r="H428" s="284" t="s">
        <v>12124</v>
      </c>
      <c r="I428" s="284" t="s">
        <v>350</v>
      </c>
      <c r="J428" s="156" t="str">
        <f t="shared" si="14"/>
        <v>MicaYamaguchi Mica Co., Ltd. Toyohashi Factory</v>
      </c>
      <c r="K428" s="156" t="str">
        <f t="shared" si="15"/>
        <v>MicaYamaguchi Mica Co., Ltd. Toyohashi Factory</v>
      </c>
    </row>
    <row r="429" spans="1:11">
      <c r="A429" s="156" t="s">
        <v>41</v>
      </c>
      <c r="B429" s="156" t="s">
        <v>298</v>
      </c>
      <c r="H429" s="284"/>
      <c r="I429" s="284"/>
      <c r="J429" s="156" t="str">
        <f t="shared" si="14"/>
        <v>MicaSmelter not listed</v>
      </c>
      <c r="K429" s="156" t="str">
        <f t="shared" si="15"/>
        <v>MicaSmelter not listed</v>
      </c>
    </row>
    <row r="430" spans="1:11">
      <c r="A430" s="156" t="s">
        <v>41</v>
      </c>
      <c r="B430" s="156" t="s">
        <v>45</v>
      </c>
      <c r="C430" s="156" t="s">
        <v>26</v>
      </c>
      <c r="H430" s="284"/>
      <c r="I430" s="284"/>
      <c r="J430" s="156" t="str">
        <f t="shared" si="14"/>
        <v>MicaSmelter not yet identified</v>
      </c>
      <c r="K430" s="156" t="str">
        <f t="shared" si="15"/>
        <v>MicaSmelter not yet identified</v>
      </c>
    </row>
    <row r="431" spans="1:11">
      <c r="A431" s="156" t="s">
        <v>18685</v>
      </c>
      <c r="B431" s="156" t="s">
        <v>18914</v>
      </c>
      <c r="C431" s="156" t="s">
        <v>18914</v>
      </c>
      <c r="D431" s="156" t="s">
        <v>1679</v>
      </c>
      <c r="E431" s="156" t="s">
        <v>18915</v>
      </c>
      <c r="F431" s="157" t="s">
        <v>12</v>
      </c>
      <c r="H431" s="284" t="s">
        <v>19289</v>
      </c>
      <c r="I431" s="284" t="s">
        <v>9137</v>
      </c>
      <c r="J431" s="156" t="str">
        <f t="shared" si="14"/>
        <v>NickelCoral Bay Nickel Corporation (CBNC)</v>
      </c>
      <c r="K431" s="156" t="str">
        <f t="shared" si="15"/>
        <v>NickelCoral Bay Nickel Corporation (CBNC)</v>
      </c>
    </row>
    <row r="432" spans="1:11">
      <c r="A432" s="156" t="s">
        <v>18685</v>
      </c>
      <c r="B432" s="156" t="s">
        <v>18916</v>
      </c>
      <c r="C432" s="156" t="s">
        <v>18914</v>
      </c>
      <c r="D432" s="156" t="s">
        <v>1679</v>
      </c>
      <c r="E432" s="156" t="s">
        <v>18915</v>
      </c>
      <c r="F432" s="157" t="s">
        <v>12</v>
      </c>
      <c r="H432" s="284" t="s">
        <v>19289</v>
      </c>
      <c r="I432" s="284" t="s">
        <v>9137</v>
      </c>
      <c r="J432" s="156" t="str">
        <f t="shared" si="14"/>
        <v>NickelCoral Bay Smelter</v>
      </c>
      <c r="K432" s="156" t="str">
        <f t="shared" si="15"/>
        <v>NickelCoral Bay Smelter</v>
      </c>
    </row>
    <row r="433" spans="1:11">
      <c r="A433" s="156" t="s">
        <v>18685</v>
      </c>
      <c r="B433" s="156" t="s">
        <v>86</v>
      </c>
      <c r="C433" s="156" t="s">
        <v>86</v>
      </c>
      <c r="D433" s="156" t="s">
        <v>87</v>
      </c>
      <c r="E433" s="156" t="s">
        <v>18917</v>
      </c>
      <c r="F433" s="157" t="s">
        <v>12</v>
      </c>
      <c r="H433" s="284" t="s">
        <v>89</v>
      </c>
      <c r="I433" s="284" t="s">
        <v>89</v>
      </c>
      <c r="J433" s="156" t="str">
        <f t="shared" si="14"/>
        <v>NickelDynatec Madagascar Company</v>
      </c>
      <c r="K433" s="156" t="str">
        <f t="shared" si="15"/>
        <v>NickelDynatec Madagascar Company</v>
      </c>
    </row>
    <row r="434" spans="1:11">
      <c r="A434" s="156" t="s">
        <v>18685</v>
      </c>
      <c r="B434" s="156" t="s">
        <v>12274</v>
      </c>
      <c r="C434" s="156" t="s">
        <v>12274</v>
      </c>
      <c r="D434" s="156" t="s">
        <v>81</v>
      </c>
      <c r="E434" s="156" t="s">
        <v>18918</v>
      </c>
      <c r="F434" s="157" t="s">
        <v>12</v>
      </c>
      <c r="H434" s="284" t="s">
        <v>12276</v>
      </c>
      <c r="I434" s="284" t="s">
        <v>6458</v>
      </c>
      <c r="J434" s="156" t="str">
        <f t="shared" si="14"/>
        <v>NickelEcopro Materials Co., Ltd.</v>
      </c>
      <c r="K434" s="156" t="str">
        <f t="shared" si="15"/>
        <v>NickelEcopro Materials Co., Ltd.</v>
      </c>
    </row>
    <row r="435" spans="1:11">
      <c r="A435" s="156" t="s">
        <v>18685</v>
      </c>
      <c r="B435" s="156" t="s">
        <v>90</v>
      </c>
      <c r="C435" s="156" t="s">
        <v>90</v>
      </c>
      <c r="D435" s="156" t="s">
        <v>65</v>
      </c>
      <c r="E435" s="156" t="s">
        <v>20099</v>
      </c>
      <c r="F435" s="157" t="s">
        <v>12</v>
      </c>
      <c r="H435" s="284" t="s">
        <v>92</v>
      </c>
      <c r="I435" s="284" t="s">
        <v>93</v>
      </c>
      <c r="J435" s="156" t="str">
        <f t="shared" si="14"/>
        <v>NickelFairsky Industrial Co., Limited</v>
      </c>
      <c r="K435" s="156" t="str">
        <f t="shared" si="15"/>
        <v>NickelFairsky Industrial Co., Limited</v>
      </c>
    </row>
    <row r="436" spans="1:11">
      <c r="A436" s="156" t="s">
        <v>18685</v>
      </c>
      <c r="B436" s="156" t="s">
        <v>12081</v>
      </c>
      <c r="C436" s="156" t="s">
        <v>20013</v>
      </c>
      <c r="D436" s="156" t="s">
        <v>65</v>
      </c>
      <c r="E436" s="156" t="s">
        <v>19250</v>
      </c>
      <c r="F436" s="157" t="s">
        <v>12</v>
      </c>
      <c r="H436" s="284" t="s">
        <v>12082</v>
      </c>
      <c r="I436" s="284" t="s">
        <v>288</v>
      </c>
      <c r="J436" s="156" t="str">
        <f t="shared" si="14"/>
        <v>NickelFujian Evergreen New Energy Technology Co.</v>
      </c>
      <c r="K436" s="156" t="str">
        <f t="shared" si="15"/>
        <v>NickelFujian Evergreen New Energy Technology Co.</v>
      </c>
    </row>
    <row r="437" spans="1:11">
      <c r="A437" s="156" t="s">
        <v>18685</v>
      </c>
      <c r="B437" s="156" t="s">
        <v>20013</v>
      </c>
      <c r="C437" s="156" t="s">
        <v>20013</v>
      </c>
      <c r="D437" s="156" t="s">
        <v>65</v>
      </c>
      <c r="E437" s="156" t="s">
        <v>19250</v>
      </c>
      <c r="F437" s="157" t="s">
        <v>12</v>
      </c>
      <c r="H437" s="284" t="s">
        <v>12082</v>
      </c>
      <c r="I437" s="284" t="s">
        <v>288</v>
      </c>
      <c r="J437" s="156" t="str">
        <f t="shared" si="14"/>
        <v>NickelFujian Evergreen New Energy Technology Co., Ltd.</v>
      </c>
      <c r="K437" s="156" t="str">
        <f t="shared" si="15"/>
        <v>NickelFujian Evergreen New Energy Technology Co., Ltd.</v>
      </c>
    </row>
    <row r="438" spans="1:11">
      <c r="A438" s="156" t="s">
        <v>18685</v>
      </c>
      <c r="B438" s="156" t="s">
        <v>12283</v>
      </c>
      <c r="C438" s="156" t="s">
        <v>12283</v>
      </c>
      <c r="D438" s="156" t="s">
        <v>65</v>
      </c>
      <c r="E438" s="156" t="s">
        <v>18919</v>
      </c>
      <c r="F438" s="157" t="s">
        <v>12</v>
      </c>
      <c r="H438" s="284" t="s">
        <v>12084</v>
      </c>
      <c r="I438" s="284" t="s">
        <v>122</v>
      </c>
      <c r="J438" s="156" t="str">
        <f t="shared" si="14"/>
        <v>NickelGuangdong Fangyuan New Materials Group Co., Ltd.</v>
      </c>
      <c r="K438" s="156" t="str">
        <f t="shared" si="15"/>
        <v>NickelGuangdong Fangyuan New Materials Group Co., Ltd.</v>
      </c>
    </row>
    <row r="439" spans="1:11">
      <c r="A439" s="156" t="s">
        <v>18685</v>
      </c>
      <c r="B439" s="156" t="s">
        <v>119</v>
      </c>
      <c r="C439" s="156" t="s">
        <v>119</v>
      </c>
      <c r="D439" s="156" t="s">
        <v>65</v>
      </c>
      <c r="E439" s="156" t="s">
        <v>18920</v>
      </c>
      <c r="F439" s="157" t="s">
        <v>12</v>
      </c>
      <c r="H439" s="284" t="s">
        <v>121</v>
      </c>
      <c r="I439" s="284" t="s">
        <v>122</v>
      </c>
      <c r="J439" s="156" t="str">
        <f t="shared" si="14"/>
        <v>NickelGuangdong Jiana Energy Technology Co., Ltd.</v>
      </c>
      <c r="K439" s="156" t="str">
        <f t="shared" si="15"/>
        <v>NickelGuangdong Jiana Energy Technology Co., Ltd.</v>
      </c>
    </row>
    <row r="440" spans="1:11">
      <c r="A440" s="156" t="s">
        <v>18685</v>
      </c>
      <c r="B440" s="156" t="s">
        <v>12284</v>
      </c>
      <c r="C440" s="156" t="s">
        <v>12284</v>
      </c>
      <c r="D440" s="156" t="s">
        <v>65</v>
      </c>
      <c r="E440" s="156" t="s">
        <v>18921</v>
      </c>
      <c r="F440" s="157" t="s">
        <v>12</v>
      </c>
      <c r="H440" s="284" t="s">
        <v>12286</v>
      </c>
      <c r="I440" s="284" t="s">
        <v>126</v>
      </c>
      <c r="J440" s="156" t="str">
        <f t="shared" si="14"/>
        <v>NickelGuangxi CNGR New Energy Science &amp; Technology Co., Ltd.</v>
      </c>
      <c r="K440" s="156" t="str">
        <f t="shared" si="15"/>
        <v>NickelGuangxi CNGR New Energy Science &amp; Technology Co., Ltd.</v>
      </c>
    </row>
    <row r="441" spans="1:11">
      <c r="A441" s="156" t="s">
        <v>18685</v>
      </c>
      <c r="B441" s="156" t="s">
        <v>123</v>
      </c>
      <c r="C441" s="156" t="s">
        <v>123</v>
      </c>
      <c r="D441" s="156" t="s">
        <v>65</v>
      </c>
      <c r="E441" s="156" t="s">
        <v>18922</v>
      </c>
      <c r="F441" s="157" t="s">
        <v>12</v>
      </c>
      <c r="H441" s="284" t="s">
        <v>125</v>
      </c>
      <c r="I441" s="284" t="s">
        <v>126</v>
      </c>
      <c r="J441" s="156" t="str">
        <f t="shared" si="14"/>
        <v>NickelGuangxi Yinyi Advanced Material Co., Ltd.</v>
      </c>
      <c r="K441" s="156" t="str">
        <f t="shared" si="15"/>
        <v>NickelGuangxi Yinyi Advanced Material Co., Ltd.</v>
      </c>
    </row>
    <row r="442" spans="1:11">
      <c r="A442" s="156" t="s">
        <v>18685</v>
      </c>
      <c r="B442" s="156" t="s">
        <v>127</v>
      </c>
      <c r="C442" s="156" t="s">
        <v>127</v>
      </c>
      <c r="D442" s="156" t="s">
        <v>65</v>
      </c>
      <c r="E442" s="156" t="s">
        <v>18923</v>
      </c>
      <c r="F442" s="157" t="s">
        <v>12</v>
      </c>
      <c r="H442" s="284" t="s">
        <v>129</v>
      </c>
      <c r="I442" s="284" t="s">
        <v>130</v>
      </c>
      <c r="J442" s="156" t="str">
        <f t="shared" si="14"/>
        <v>NickelGuizhou CNGR Resource Recycling Industry Development Co., Ltd.</v>
      </c>
      <c r="K442" s="156" t="str">
        <f t="shared" si="15"/>
        <v>NickelGuizhou CNGR Resource Recycling Industry Development Co., Ltd.</v>
      </c>
    </row>
    <row r="443" spans="1:11">
      <c r="A443" s="156" t="s">
        <v>18685</v>
      </c>
      <c r="B443" s="156" t="s">
        <v>12231</v>
      </c>
      <c r="C443" s="156" t="s">
        <v>12231</v>
      </c>
      <c r="D443" s="156" t="s">
        <v>65</v>
      </c>
      <c r="E443" s="156" t="s">
        <v>18924</v>
      </c>
      <c r="F443" s="157" t="s">
        <v>12</v>
      </c>
      <c r="H443" s="284" t="s">
        <v>129</v>
      </c>
      <c r="I443" s="284" t="s">
        <v>130</v>
      </c>
      <c r="J443" s="156" t="str">
        <f t="shared" si="14"/>
        <v>NickelGuizhou Red Star Electronic Material Co., Ltd.</v>
      </c>
      <c r="K443" s="156" t="str">
        <f t="shared" si="15"/>
        <v>NickelGuizhou Red Star Electronic Material Co., Ltd.</v>
      </c>
    </row>
    <row r="444" spans="1:11">
      <c r="A444" s="156" t="s">
        <v>18685</v>
      </c>
      <c r="B444" s="156" t="s">
        <v>131</v>
      </c>
      <c r="C444" s="156" t="s">
        <v>132</v>
      </c>
      <c r="D444" s="156" t="s">
        <v>133</v>
      </c>
      <c r="E444" s="156" t="s">
        <v>18925</v>
      </c>
      <c r="F444" s="157" t="s">
        <v>12</v>
      </c>
      <c r="H444" s="284" t="s">
        <v>135</v>
      </c>
      <c r="I444" s="284" t="s">
        <v>6104</v>
      </c>
      <c r="J444" s="156" t="str">
        <f t="shared" si="14"/>
        <v>NickelHarima Refinery</v>
      </c>
      <c r="K444" s="156" t="str">
        <f t="shared" si="15"/>
        <v>NickelHarima Refinery</v>
      </c>
    </row>
    <row r="445" spans="1:11">
      <c r="A445" s="156" t="s">
        <v>18685</v>
      </c>
      <c r="B445" s="156" t="s">
        <v>132</v>
      </c>
      <c r="C445" s="156" t="s">
        <v>132</v>
      </c>
      <c r="D445" s="156" t="s">
        <v>133</v>
      </c>
      <c r="E445" s="156" t="s">
        <v>18925</v>
      </c>
      <c r="F445" s="157" t="s">
        <v>12</v>
      </c>
      <c r="H445" s="284" t="s">
        <v>135</v>
      </c>
      <c r="I445" s="284" t="s">
        <v>6104</v>
      </c>
      <c r="J445" s="156" t="str">
        <f t="shared" si="14"/>
        <v>NickelHarima Refinery, Sumitomo Metal Mining</v>
      </c>
      <c r="K445" s="156" t="str">
        <f t="shared" si="15"/>
        <v>NickelHarima Refinery, Sumitomo Metal Mining</v>
      </c>
    </row>
    <row r="446" spans="1:11">
      <c r="A446" s="156" t="s">
        <v>18685</v>
      </c>
      <c r="B446" s="156" t="s">
        <v>140</v>
      </c>
      <c r="C446" s="156" t="s">
        <v>140</v>
      </c>
      <c r="D446" s="156" t="s">
        <v>65</v>
      </c>
      <c r="E446" s="156" t="s">
        <v>18926</v>
      </c>
      <c r="F446" s="157" t="s">
        <v>12</v>
      </c>
      <c r="H446" s="284" t="s">
        <v>142</v>
      </c>
      <c r="I446" s="284" t="s">
        <v>143</v>
      </c>
      <c r="J446" s="156" t="str">
        <f t="shared" si="14"/>
        <v>NickelHunan Brunp Recycling Technology Co., Ltd.</v>
      </c>
      <c r="K446" s="156" t="str">
        <f t="shared" si="15"/>
        <v>NickelHunan Brunp Recycling Technology Co., Ltd.</v>
      </c>
    </row>
    <row r="447" spans="1:11">
      <c r="A447" s="156" t="s">
        <v>18685</v>
      </c>
      <c r="B447" s="156" t="s">
        <v>144</v>
      </c>
      <c r="C447" s="156" t="s">
        <v>144</v>
      </c>
      <c r="D447" s="156" t="s">
        <v>65</v>
      </c>
      <c r="E447" s="156" t="s">
        <v>18927</v>
      </c>
      <c r="F447" s="157" t="s">
        <v>12</v>
      </c>
      <c r="H447" s="284" t="s">
        <v>142</v>
      </c>
      <c r="I447" s="284" t="s">
        <v>143</v>
      </c>
      <c r="J447" s="156" t="str">
        <f t="shared" si="14"/>
        <v>NickelHunan CNGR New Energy Science &amp; Technology Co., Ltd.</v>
      </c>
      <c r="K447" s="156" t="str">
        <f t="shared" si="15"/>
        <v>NickelHunan CNGR New Energy Science &amp; Technology Co., Ltd.</v>
      </c>
    </row>
    <row r="448" spans="1:11">
      <c r="A448" s="156" t="s">
        <v>18685</v>
      </c>
      <c r="B448" s="156" t="s">
        <v>18928</v>
      </c>
      <c r="C448" s="156" t="s">
        <v>18928</v>
      </c>
      <c r="D448" s="156" t="s">
        <v>133</v>
      </c>
      <c r="E448" s="156" t="s">
        <v>18929</v>
      </c>
      <c r="F448" s="157" t="s">
        <v>12</v>
      </c>
      <c r="H448" s="284" t="s">
        <v>19257</v>
      </c>
      <c r="I448" s="284" t="s">
        <v>6144</v>
      </c>
      <c r="J448" s="156" t="str">
        <f t="shared" si="14"/>
        <v>NickelHyuga Smelting Co., Ltd.</v>
      </c>
      <c r="K448" s="156" t="str">
        <f t="shared" si="15"/>
        <v>NickelHyuga Smelting Co., Ltd.</v>
      </c>
    </row>
    <row r="449" spans="1:11">
      <c r="A449" s="156" t="s">
        <v>18685</v>
      </c>
      <c r="B449" s="156" t="s">
        <v>18930</v>
      </c>
      <c r="C449" s="156" t="s">
        <v>20100</v>
      </c>
      <c r="D449" s="156" t="s">
        <v>156</v>
      </c>
      <c r="E449" s="156" t="s">
        <v>18931</v>
      </c>
      <c r="F449" s="157" t="s">
        <v>12</v>
      </c>
      <c r="H449" s="284" t="s">
        <v>158</v>
      </c>
      <c r="I449" s="284" t="s">
        <v>159</v>
      </c>
      <c r="J449" s="156" t="str">
        <f t="shared" si="14"/>
        <v>NickelIconiChem</v>
      </c>
      <c r="K449" s="156" t="str">
        <f t="shared" si="15"/>
        <v>NickelIconiChem</v>
      </c>
    </row>
    <row r="450" spans="1:11">
      <c r="A450" s="156" t="s">
        <v>18685</v>
      </c>
      <c r="B450" s="156" t="s">
        <v>20100</v>
      </c>
      <c r="C450" s="156" t="s">
        <v>20100</v>
      </c>
      <c r="D450" s="156" t="s">
        <v>156</v>
      </c>
      <c r="E450" s="156" t="s">
        <v>18931</v>
      </c>
      <c r="F450" s="157" t="s">
        <v>12</v>
      </c>
      <c r="H450" s="284" t="s">
        <v>158</v>
      </c>
      <c r="I450" s="284" t="s">
        <v>159</v>
      </c>
      <c r="J450" s="156" t="str">
        <f t="shared" si="14"/>
        <v>NickelICoNiChem Widnes Ltd</v>
      </c>
      <c r="K450" s="156" t="str">
        <f t="shared" si="15"/>
        <v>NickelICoNiChem Widnes Ltd</v>
      </c>
    </row>
    <row r="451" spans="1:11">
      <c r="A451" s="156" t="s">
        <v>18685</v>
      </c>
      <c r="B451" s="156" t="s">
        <v>18740</v>
      </c>
      <c r="C451" s="156" t="s">
        <v>18740</v>
      </c>
      <c r="D451" s="156" t="s">
        <v>1740</v>
      </c>
      <c r="E451" s="156" t="s">
        <v>18932</v>
      </c>
      <c r="F451" s="157" t="s">
        <v>12</v>
      </c>
      <c r="H451" s="284" t="s">
        <v>12289</v>
      </c>
      <c r="I451" s="284" t="s">
        <v>12000</v>
      </c>
      <c r="J451" s="156" t="str">
        <f t="shared" si="14"/>
        <v>NickelImpala Platinum - Base Metal Refinery (BMR)</v>
      </c>
      <c r="K451" s="156" t="str">
        <f t="shared" si="15"/>
        <v>NickelImpala Platinum - Base Metal Refinery (BMR)</v>
      </c>
    </row>
    <row r="452" spans="1:11">
      <c r="A452" s="156" t="s">
        <v>18685</v>
      </c>
      <c r="B452" s="156" t="s">
        <v>18742</v>
      </c>
      <c r="C452" s="156" t="s">
        <v>18742</v>
      </c>
      <c r="D452" s="156" t="s">
        <v>1740</v>
      </c>
      <c r="E452" s="156" t="s">
        <v>18933</v>
      </c>
      <c r="F452" s="157" t="s">
        <v>12</v>
      </c>
      <c r="H452" s="284" t="s">
        <v>12292</v>
      </c>
      <c r="I452" s="284" t="s">
        <v>3191</v>
      </c>
      <c r="J452" s="156" t="str">
        <f t="shared" si="14"/>
        <v>NickelImpala Platinum - Rustenburg Smelter</v>
      </c>
      <c r="K452" s="156" t="str">
        <f t="shared" si="15"/>
        <v>NickelImpala Platinum - Rustenburg Smelter</v>
      </c>
    </row>
    <row r="453" spans="1:11">
      <c r="A453" s="156" t="s">
        <v>18685</v>
      </c>
      <c r="B453" s="156" t="s">
        <v>12287</v>
      </c>
      <c r="C453" s="156" t="s">
        <v>18740</v>
      </c>
      <c r="D453" s="156" t="s">
        <v>1740</v>
      </c>
      <c r="E453" s="156" t="s">
        <v>18932</v>
      </c>
      <c r="F453" s="157" t="s">
        <v>12</v>
      </c>
      <c r="H453" s="284" t="s">
        <v>12289</v>
      </c>
      <c r="I453" s="284" t="s">
        <v>12000</v>
      </c>
      <c r="J453" s="156" t="str">
        <f t="shared" si="14"/>
        <v>NickelImpala Refineries – Base Metals Refinery (BMR)</v>
      </c>
      <c r="K453" s="156" t="str">
        <f t="shared" si="15"/>
        <v>NickelImpala Refineries – Base Metals Refinery (BMR)</v>
      </c>
    </row>
    <row r="454" spans="1:11">
      <c r="A454" s="156" t="s">
        <v>18685</v>
      </c>
      <c r="B454" s="156" t="s">
        <v>12290</v>
      </c>
      <c r="C454" s="156" t="s">
        <v>18742</v>
      </c>
      <c r="D454" s="156" t="s">
        <v>1740</v>
      </c>
      <c r="E454" s="156" t="s">
        <v>18933</v>
      </c>
      <c r="F454" s="157" t="s">
        <v>12</v>
      </c>
      <c r="H454" s="284" t="s">
        <v>12292</v>
      </c>
      <c r="I454" s="284" t="s">
        <v>3191</v>
      </c>
      <c r="J454" s="156" t="str">
        <f t="shared" si="14"/>
        <v>NickelImpala Rustenburg</v>
      </c>
      <c r="K454" s="156" t="str">
        <f t="shared" si="15"/>
        <v>NickelImpala Rustenburg</v>
      </c>
    </row>
    <row r="455" spans="1:11">
      <c r="A455" s="156" t="s">
        <v>18685</v>
      </c>
      <c r="B455" s="156" t="s">
        <v>12293</v>
      </c>
      <c r="C455" s="156" t="s">
        <v>12294</v>
      </c>
      <c r="D455" s="156" t="s">
        <v>65</v>
      </c>
      <c r="E455" s="156" t="s">
        <v>18934</v>
      </c>
      <c r="F455" s="157" t="s">
        <v>12</v>
      </c>
      <c r="H455" s="284" t="s">
        <v>12296</v>
      </c>
      <c r="I455" s="284" t="s">
        <v>122</v>
      </c>
      <c r="J455" s="156" t="str">
        <f t="shared" si="14"/>
        <v>NickelJiangmen Chancsun Umicore Industry Co., Ltd. (JUC)</v>
      </c>
      <c r="K455" s="156" t="str">
        <f t="shared" si="15"/>
        <v>NickelJiangmen Chancsun Umicore Industry Co., Ltd. (JUC)</v>
      </c>
    </row>
    <row r="456" spans="1:11">
      <c r="A456" s="156" t="s">
        <v>18685</v>
      </c>
      <c r="B456" s="156" t="s">
        <v>12294</v>
      </c>
      <c r="C456" s="156" t="s">
        <v>12294</v>
      </c>
      <c r="D456" s="156" t="s">
        <v>65</v>
      </c>
      <c r="E456" s="156" t="s">
        <v>18934</v>
      </c>
      <c r="F456" s="157" t="s">
        <v>12</v>
      </c>
      <c r="H456" s="284" t="s">
        <v>12296</v>
      </c>
      <c r="I456" s="284" t="s">
        <v>122</v>
      </c>
      <c r="J456" s="156" t="str">
        <f t="shared" ref="J456:J495" si="16">A456&amp;B456</f>
        <v>NickelJiangmen Chancsun Umicore Industry Co.,Ltd</v>
      </c>
      <c r="K456" s="156" t="str">
        <f t="shared" ref="K456:K495" si="17">A456&amp;B456</f>
        <v>NickelJiangmen Chancsun Umicore Industry Co.,Ltd</v>
      </c>
    </row>
    <row r="457" spans="1:11">
      <c r="A457" s="156" t="s">
        <v>18685</v>
      </c>
      <c r="B457" s="156" t="s">
        <v>12086</v>
      </c>
      <c r="C457" s="156" t="s">
        <v>12086</v>
      </c>
      <c r="D457" s="156" t="s">
        <v>65</v>
      </c>
      <c r="E457" s="156" t="s">
        <v>18935</v>
      </c>
      <c r="F457" s="157" t="s">
        <v>12</v>
      </c>
      <c r="H457" s="284" t="s">
        <v>12087</v>
      </c>
      <c r="I457" s="284" t="s">
        <v>106</v>
      </c>
      <c r="J457" s="156" t="str">
        <f t="shared" si="16"/>
        <v>NickelJiangxi Miracle Golden Tiger Cobalt Co. Ltd.</v>
      </c>
      <c r="K457" s="156" t="str">
        <f t="shared" si="17"/>
        <v>NickelJiangxi Miracle Golden Tiger Cobalt Co. Ltd.</v>
      </c>
    </row>
    <row r="458" spans="1:11">
      <c r="A458" s="156" t="s">
        <v>18685</v>
      </c>
      <c r="B458" s="156" t="s">
        <v>167</v>
      </c>
      <c r="C458" s="156" t="s">
        <v>12298</v>
      </c>
      <c r="D458" s="156" t="s">
        <v>65</v>
      </c>
      <c r="E458" s="156" t="s">
        <v>18936</v>
      </c>
      <c r="F458" s="157" t="s">
        <v>12</v>
      </c>
      <c r="H458" s="284" t="s">
        <v>20101</v>
      </c>
      <c r="I458" s="284" t="s">
        <v>106</v>
      </c>
      <c r="J458" s="156" t="str">
        <f t="shared" si="16"/>
        <v>NickelJiangxi Rui da Xinnengyuan Technology Co., Ltd.</v>
      </c>
      <c r="K458" s="156" t="str">
        <f t="shared" si="17"/>
        <v>NickelJiangxi Rui da Xinnengyuan Technology Co., Ltd.</v>
      </c>
    </row>
    <row r="459" spans="1:11">
      <c r="A459" s="156" t="s">
        <v>18685</v>
      </c>
      <c r="B459" s="156" t="s">
        <v>18937</v>
      </c>
      <c r="C459" s="156" t="s">
        <v>12298</v>
      </c>
      <c r="D459" s="156" t="s">
        <v>65</v>
      </c>
      <c r="E459" s="156" t="s">
        <v>18936</v>
      </c>
      <c r="F459" s="157" t="s">
        <v>12</v>
      </c>
      <c r="H459" s="284" t="s">
        <v>20101</v>
      </c>
      <c r="I459" s="284" t="s">
        <v>106</v>
      </c>
      <c r="J459" s="156" t="str">
        <f t="shared" si="16"/>
        <v>NickelJiangxi Ruida</v>
      </c>
      <c r="K459" s="156" t="str">
        <f t="shared" si="17"/>
        <v>NickelJiangxi Ruida</v>
      </c>
    </row>
    <row r="460" spans="1:11">
      <c r="A460" s="156" t="s">
        <v>18685</v>
      </c>
      <c r="B460" s="156" t="s">
        <v>12298</v>
      </c>
      <c r="C460" s="156" t="s">
        <v>12298</v>
      </c>
      <c r="D460" s="156" t="s">
        <v>65</v>
      </c>
      <c r="E460" s="156" t="s">
        <v>18936</v>
      </c>
      <c r="F460" s="157" t="s">
        <v>12</v>
      </c>
      <c r="H460" s="284" t="s">
        <v>20101</v>
      </c>
      <c r="I460" s="284" t="s">
        <v>106</v>
      </c>
      <c r="J460" s="156" t="str">
        <f t="shared" si="16"/>
        <v>NickelJiangxi Ruida New Energy Technology Co., Ltd.</v>
      </c>
      <c r="K460" s="156" t="str">
        <f t="shared" si="17"/>
        <v>NickelJiangxi Ruida New Energy Technology Co., Ltd.</v>
      </c>
    </row>
    <row r="461" spans="1:11">
      <c r="A461" s="156" t="s">
        <v>18685</v>
      </c>
      <c r="B461" s="156" t="s">
        <v>18938</v>
      </c>
      <c r="C461" s="156" t="s">
        <v>18938</v>
      </c>
      <c r="D461" s="156" t="s">
        <v>173</v>
      </c>
      <c r="E461" s="156" t="s">
        <v>18939</v>
      </c>
      <c r="F461" s="157" t="s">
        <v>12</v>
      </c>
      <c r="H461" s="284" t="s">
        <v>19258</v>
      </c>
      <c r="I461" s="284" t="s">
        <v>176</v>
      </c>
      <c r="J461" s="156" t="str">
        <f t="shared" si="16"/>
        <v>NickelJoint-Stock Company Kola Mining and Metallurgical Company (JSC Kola MMC)</v>
      </c>
      <c r="K461" s="156" t="str">
        <f t="shared" si="17"/>
        <v>NickelJoint-Stock Company Kola Mining and Metallurgical Company (JSC Kola MMC)</v>
      </c>
    </row>
    <row r="462" spans="1:11">
      <c r="A462" s="156" t="s">
        <v>18685</v>
      </c>
      <c r="B462" s="156" t="s">
        <v>20102</v>
      </c>
      <c r="C462" s="156" t="s">
        <v>20102</v>
      </c>
      <c r="D462" s="156" t="s">
        <v>81</v>
      </c>
      <c r="E462" s="156" t="s">
        <v>20103</v>
      </c>
      <c r="F462" s="157" t="s">
        <v>12</v>
      </c>
      <c r="H462" s="284" t="s">
        <v>20104</v>
      </c>
      <c r="I462" s="284" t="s">
        <v>20105</v>
      </c>
      <c r="J462" s="156" t="str">
        <f t="shared" si="16"/>
        <v>NickelKorea Energy Materials Company(Nickel Refinery)</v>
      </c>
      <c r="K462" s="156" t="str">
        <f t="shared" si="17"/>
        <v>NickelKorea Energy Materials Company(Nickel Refinery)</v>
      </c>
    </row>
    <row r="463" spans="1:11">
      <c r="A463" s="156" t="s">
        <v>18685</v>
      </c>
      <c r="B463" s="156" t="s">
        <v>20106</v>
      </c>
      <c r="C463" s="156" t="s">
        <v>20102</v>
      </c>
      <c r="D463" s="156" t="s">
        <v>81</v>
      </c>
      <c r="E463" s="156" t="s">
        <v>20103</v>
      </c>
      <c r="F463" s="157" t="s">
        <v>12</v>
      </c>
      <c r="H463" s="284" t="s">
        <v>20104</v>
      </c>
      <c r="I463" s="284" t="s">
        <v>20105</v>
      </c>
      <c r="J463" s="156" t="str">
        <f t="shared" si="16"/>
        <v>NickelKorea Energy Materials Corp (KEMCO)</v>
      </c>
      <c r="K463" s="156" t="str">
        <f t="shared" si="17"/>
        <v>NickelKorea Energy Materials Corp (KEMCO)</v>
      </c>
    </row>
    <row r="464" spans="1:11">
      <c r="A464" s="156" t="s">
        <v>18685</v>
      </c>
      <c r="B464" s="156" t="s">
        <v>19204</v>
      </c>
      <c r="C464" s="156" t="s">
        <v>19204</v>
      </c>
      <c r="D464" s="156" t="s">
        <v>305</v>
      </c>
      <c r="E464" s="156" t="s">
        <v>19251</v>
      </c>
      <c r="F464" s="157" t="s">
        <v>12</v>
      </c>
      <c r="H464" s="284" t="s">
        <v>19215</v>
      </c>
      <c r="I464" s="284" t="s">
        <v>5631</v>
      </c>
      <c r="J464" s="156" t="str">
        <f t="shared" si="16"/>
        <v>NickelLOHUM CLEANTECH PVT LTD</v>
      </c>
      <c r="K464" s="156" t="str">
        <f t="shared" si="17"/>
        <v>NickelLOHUM CLEANTECH PVT LTD</v>
      </c>
    </row>
    <row r="465" spans="1:11">
      <c r="A465" s="156" t="s">
        <v>18685</v>
      </c>
      <c r="B465" s="156" t="s">
        <v>210</v>
      </c>
      <c r="C465" s="156" t="s">
        <v>211</v>
      </c>
      <c r="D465" s="156" t="s">
        <v>212</v>
      </c>
      <c r="E465" s="156" t="s">
        <v>18940</v>
      </c>
      <c r="F465" s="157" t="s">
        <v>12</v>
      </c>
      <c r="H465" s="284" t="s">
        <v>19259</v>
      </c>
      <c r="I465" s="284" t="s">
        <v>215</v>
      </c>
      <c r="J465" s="156" t="str">
        <f t="shared" si="16"/>
        <v>NickelMinara Resources Pty</v>
      </c>
      <c r="K465" s="156" t="str">
        <f t="shared" si="17"/>
        <v>NickelMinara Resources Pty</v>
      </c>
    </row>
    <row r="466" spans="1:11">
      <c r="A466" s="156" t="s">
        <v>18685</v>
      </c>
      <c r="B466" s="156" t="s">
        <v>216</v>
      </c>
      <c r="C466" s="156" t="s">
        <v>211</v>
      </c>
      <c r="D466" s="156" t="s">
        <v>212</v>
      </c>
      <c r="E466" s="156" t="s">
        <v>18940</v>
      </c>
      <c r="F466" s="157" t="s">
        <v>12</v>
      </c>
      <c r="H466" s="284" t="s">
        <v>19259</v>
      </c>
      <c r="I466" s="284" t="s">
        <v>215</v>
      </c>
      <c r="J466" s="156" t="str">
        <f t="shared" si="16"/>
        <v>NickelMinara Resources Pty Ltd.</v>
      </c>
      <c r="K466" s="156" t="str">
        <f t="shared" si="17"/>
        <v>NickelMinara Resources Pty Ltd.</v>
      </c>
    </row>
    <row r="467" spans="1:11">
      <c r="A467" s="156" t="s">
        <v>18685</v>
      </c>
      <c r="B467" s="156" t="s">
        <v>211</v>
      </c>
      <c r="C467" s="156" t="s">
        <v>211</v>
      </c>
      <c r="D467" s="156" t="s">
        <v>212</v>
      </c>
      <c r="E467" s="156" t="s">
        <v>18940</v>
      </c>
      <c r="F467" s="157" t="s">
        <v>12</v>
      </c>
      <c r="H467" s="284" t="s">
        <v>19259</v>
      </c>
      <c r="I467" s="284" t="s">
        <v>215</v>
      </c>
      <c r="J467" s="156" t="str">
        <f t="shared" si="16"/>
        <v>NickelMurrin Murrin Nickel Cobalt Plant</v>
      </c>
      <c r="K467" s="156" t="str">
        <f t="shared" si="17"/>
        <v>NickelMurrin Murrin Nickel Cobalt Plant</v>
      </c>
    </row>
    <row r="468" spans="1:11">
      <c r="A468" s="156" t="s">
        <v>18685</v>
      </c>
      <c r="B468" s="156" t="s">
        <v>12130</v>
      </c>
      <c r="C468" s="156" t="s">
        <v>12091</v>
      </c>
      <c r="D468" s="156" t="s">
        <v>173</v>
      </c>
      <c r="E468" s="156" t="s">
        <v>18941</v>
      </c>
      <c r="F468" s="157" t="s">
        <v>12</v>
      </c>
      <c r="H468" s="284" t="s">
        <v>12092</v>
      </c>
      <c r="I468" s="284" t="s">
        <v>9671</v>
      </c>
      <c r="J468" s="156" t="str">
        <f t="shared" si="16"/>
        <v>NickelNadezhda Metallurgical Plant (named after B.I. Kolesnikov) of the Polar Division of PJSC MMC Norilsk Nickel</v>
      </c>
      <c r="K468" s="156" t="str">
        <f t="shared" si="17"/>
        <v>NickelNadezhda Metallurgical Plant (named after B.I. Kolesnikov) of the Polar Division of PJSC MMC Norilsk Nickel</v>
      </c>
    </row>
    <row r="469" spans="1:11">
      <c r="A469" s="156" t="s">
        <v>18685</v>
      </c>
      <c r="B469" s="156" t="s">
        <v>12091</v>
      </c>
      <c r="C469" s="156" t="s">
        <v>12091</v>
      </c>
      <c r="D469" s="156" t="s">
        <v>173</v>
      </c>
      <c r="E469" s="156" t="s">
        <v>18941</v>
      </c>
      <c r="F469" s="157" t="s">
        <v>12</v>
      </c>
      <c r="H469" s="284" t="s">
        <v>12092</v>
      </c>
      <c r="I469" s="284" t="s">
        <v>9671</v>
      </c>
      <c r="J469" s="156" t="str">
        <f t="shared" si="16"/>
        <v>NickelNadezhda Metallurgical Plant of MMC Norilsk Nickel's Polar Division</v>
      </c>
      <c r="K469" s="156" t="str">
        <f t="shared" si="17"/>
        <v>NickelNadezhda Metallurgical Plant of MMC Norilsk Nickel's Polar Division</v>
      </c>
    </row>
    <row r="470" spans="1:11">
      <c r="A470" s="156" t="s">
        <v>18685</v>
      </c>
      <c r="B470" s="156" t="s">
        <v>12131</v>
      </c>
      <c r="C470" s="156" t="s">
        <v>12093</v>
      </c>
      <c r="D470" s="156" t="s">
        <v>133</v>
      </c>
      <c r="E470" s="156" t="s">
        <v>18942</v>
      </c>
      <c r="F470" s="157" t="s">
        <v>12</v>
      </c>
      <c r="H470" s="284" t="s">
        <v>233</v>
      </c>
      <c r="I470" s="284" t="s">
        <v>234</v>
      </c>
      <c r="J470" s="156" t="str">
        <f t="shared" si="16"/>
        <v>NickelNiihama Nickel Refinery</v>
      </c>
      <c r="K470" s="156" t="str">
        <f t="shared" si="17"/>
        <v>NickelNiihama Nickel Refinery</v>
      </c>
    </row>
    <row r="471" spans="1:11">
      <c r="A471" s="156" t="s">
        <v>18685</v>
      </c>
      <c r="B471" s="156" t="s">
        <v>12093</v>
      </c>
      <c r="C471" s="156" t="s">
        <v>12093</v>
      </c>
      <c r="D471" s="156" t="s">
        <v>133</v>
      </c>
      <c r="E471" s="156" t="s">
        <v>18942</v>
      </c>
      <c r="F471" s="157" t="s">
        <v>12</v>
      </c>
      <c r="H471" s="284" t="s">
        <v>233</v>
      </c>
      <c r="I471" s="284" t="s">
        <v>234</v>
      </c>
      <c r="J471" s="156" t="str">
        <f t="shared" si="16"/>
        <v>NickelNiihama Nickel Refinery, Sumitomo Metal Mining</v>
      </c>
      <c r="K471" s="156" t="str">
        <f t="shared" si="17"/>
        <v>NickelNiihama Nickel Refinery, Sumitomo Metal Mining</v>
      </c>
    </row>
    <row r="472" spans="1:11">
      <c r="A472" s="156" t="s">
        <v>18685</v>
      </c>
      <c r="B472" s="156" t="s">
        <v>18943</v>
      </c>
      <c r="C472" s="156" t="s">
        <v>238</v>
      </c>
      <c r="D472" s="156" t="s">
        <v>101</v>
      </c>
      <c r="E472" s="156" t="s">
        <v>18944</v>
      </c>
      <c r="F472" s="157" t="s">
        <v>12</v>
      </c>
      <c r="H472" s="284" t="s">
        <v>19260</v>
      </c>
      <c r="I472" s="284" t="s">
        <v>241</v>
      </c>
      <c r="J472" s="156" t="str">
        <f t="shared" si="16"/>
        <v>NickelNorilsk Harjavalta</v>
      </c>
      <c r="K472" s="156" t="str">
        <f t="shared" si="17"/>
        <v>NickelNorilsk Harjavalta</v>
      </c>
    </row>
    <row r="473" spans="1:11">
      <c r="A473" s="156" t="s">
        <v>18685</v>
      </c>
      <c r="B473" s="156" t="s">
        <v>238</v>
      </c>
      <c r="C473" s="156" t="s">
        <v>238</v>
      </c>
      <c r="D473" s="156" t="s">
        <v>101</v>
      </c>
      <c r="E473" s="156" t="s">
        <v>18944</v>
      </c>
      <c r="F473" s="157" t="s">
        <v>12</v>
      </c>
      <c r="H473" s="284" t="s">
        <v>19260</v>
      </c>
      <c r="I473" s="284" t="s">
        <v>241</v>
      </c>
      <c r="J473" s="156" t="str">
        <f t="shared" si="16"/>
        <v>NickelNORILSK NICKEL HARJAVALTA OY</v>
      </c>
      <c r="K473" s="156" t="str">
        <f t="shared" si="17"/>
        <v>NickelNORILSK NICKEL HARJAVALTA OY</v>
      </c>
    </row>
    <row r="474" spans="1:11">
      <c r="A474" s="156" t="s">
        <v>18685</v>
      </c>
      <c r="B474" s="156" t="s">
        <v>18945</v>
      </c>
      <c r="C474" s="156" t="s">
        <v>18945</v>
      </c>
      <c r="D474" s="156" t="s">
        <v>246</v>
      </c>
      <c r="E474" s="156" t="s">
        <v>18946</v>
      </c>
      <c r="F474" s="157" t="s">
        <v>12</v>
      </c>
      <c r="H474" s="284" t="s">
        <v>19261</v>
      </c>
      <c r="I474" s="284" t="s">
        <v>5431</v>
      </c>
      <c r="J474" s="156" t="str">
        <f t="shared" si="16"/>
        <v>NickelPT DEBONAIR NICKEL INDONESIA</v>
      </c>
      <c r="K474" s="156" t="str">
        <f t="shared" si="17"/>
        <v>NickelPT DEBONAIR NICKEL INDONESIA</v>
      </c>
    </row>
    <row r="475" spans="1:11">
      <c r="A475" s="156" t="s">
        <v>18685</v>
      </c>
      <c r="B475" s="156" t="s">
        <v>18945</v>
      </c>
      <c r="C475" s="156" t="s">
        <v>18945</v>
      </c>
      <c r="D475" s="156" t="s">
        <v>246</v>
      </c>
      <c r="E475" s="156" t="s">
        <v>18947</v>
      </c>
      <c r="F475" s="157" t="s">
        <v>12</v>
      </c>
      <c r="H475" s="284" t="s">
        <v>19261</v>
      </c>
      <c r="I475" s="284" t="s">
        <v>5431</v>
      </c>
      <c r="J475" s="156" t="str">
        <f t="shared" si="16"/>
        <v>NickelPT DEBONAIR NICKEL INDONESIA</v>
      </c>
      <c r="K475" s="156" t="str">
        <f t="shared" si="17"/>
        <v>NickelPT DEBONAIR NICKEL INDONESIA</v>
      </c>
    </row>
    <row r="476" spans="1:11">
      <c r="A476" s="156" t="s">
        <v>18685</v>
      </c>
      <c r="B476" s="156" t="s">
        <v>12308</v>
      </c>
      <c r="C476" s="156" t="s">
        <v>12308</v>
      </c>
      <c r="D476" s="156" t="s">
        <v>246</v>
      </c>
      <c r="E476" s="156" t="s">
        <v>18948</v>
      </c>
      <c r="F476" s="157" t="s">
        <v>12</v>
      </c>
      <c r="H476" s="284" t="s">
        <v>12310</v>
      </c>
      <c r="I476" s="284" t="s">
        <v>5431</v>
      </c>
      <c r="J476" s="156" t="str">
        <f t="shared" si="16"/>
        <v>NickelPT Halmahera Persada Lygend</v>
      </c>
      <c r="K476" s="156" t="str">
        <f t="shared" si="17"/>
        <v>NickelPT Halmahera Persada Lygend</v>
      </c>
    </row>
    <row r="477" spans="1:11">
      <c r="A477" s="156" t="s">
        <v>18685</v>
      </c>
      <c r="B477" s="156" t="s">
        <v>19206</v>
      </c>
      <c r="C477" s="156" t="s">
        <v>19206</v>
      </c>
      <c r="D477" s="156" t="s">
        <v>246</v>
      </c>
      <c r="E477" s="156" t="s">
        <v>19252</v>
      </c>
      <c r="F477" s="157" t="s">
        <v>12</v>
      </c>
      <c r="H477" s="284" t="s">
        <v>19216</v>
      </c>
      <c r="I477" s="284" t="s">
        <v>5431</v>
      </c>
      <c r="J477" s="156" t="str">
        <f t="shared" si="16"/>
        <v>NickelPT HUAFEI NICKEL COBALT</v>
      </c>
      <c r="K477" s="156" t="str">
        <f t="shared" si="17"/>
        <v>NickelPT HUAFEI NICKEL COBALT</v>
      </c>
    </row>
    <row r="478" spans="1:11">
      <c r="A478" s="156" t="s">
        <v>18685</v>
      </c>
      <c r="B478" s="156" t="s">
        <v>18949</v>
      </c>
      <c r="C478" s="156" t="s">
        <v>18949</v>
      </c>
      <c r="D478" s="156" t="s">
        <v>246</v>
      </c>
      <c r="E478" s="156" t="s">
        <v>18950</v>
      </c>
      <c r="F478" s="157" t="s">
        <v>12</v>
      </c>
      <c r="H478" s="284" t="s">
        <v>12313</v>
      </c>
      <c r="I478" s="284" t="s">
        <v>5457</v>
      </c>
      <c r="J478" s="156" t="str">
        <f t="shared" si="16"/>
        <v>NickelPT HUAYUE NICKEL COBALT</v>
      </c>
      <c r="K478" s="156" t="str">
        <f t="shared" si="17"/>
        <v>NickelPT HUAYUE NICKEL COBALT</v>
      </c>
    </row>
    <row r="479" spans="1:11">
      <c r="A479" s="156" t="s">
        <v>18685</v>
      </c>
      <c r="B479" s="156" t="s">
        <v>19264</v>
      </c>
      <c r="C479" s="156" t="s">
        <v>19264</v>
      </c>
      <c r="D479" s="156" t="s">
        <v>246</v>
      </c>
      <c r="E479" s="156" t="s">
        <v>19283</v>
      </c>
      <c r="F479" s="157" t="s">
        <v>12</v>
      </c>
      <c r="H479" s="284" t="s">
        <v>20018</v>
      </c>
      <c r="I479" s="284" t="s">
        <v>20019</v>
      </c>
      <c r="J479" s="156" t="str">
        <f t="shared" si="16"/>
        <v>NickelPT Obi Nickel Cobalt</v>
      </c>
      <c r="K479" s="156" t="str">
        <f t="shared" si="17"/>
        <v>NickelPT Obi Nickel Cobalt</v>
      </c>
    </row>
    <row r="480" spans="1:11">
      <c r="A480" s="156" t="s">
        <v>18685</v>
      </c>
      <c r="B480" s="156" t="s">
        <v>12311</v>
      </c>
      <c r="C480" s="156" t="s">
        <v>12311</v>
      </c>
      <c r="D480" s="156" t="s">
        <v>246</v>
      </c>
      <c r="E480" s="156" t="s">
        <v>18951</v>
      </c>
      <c r="F480" s="157" t="s">
        <v>12</v>
      </c>
      <c r="H480" s="284" t="s">
        <v>12313</v>
      </c>
      <c r="I480" s="284" t="s">
        <v>5457</v>
      </c>
      <c r="J480" s="156" t="str">
        <f t="shared" si="16"/>
        <v>NickelPT QMB New Energy Materials</v>
      </c>
      <c r="K480" s="156" t="str">
        <f t="shared" si="17"/>
        <v>NickelPT QMB New Energy Materials</v>
      </c>
    </row>
    <row r="481" spans="1:11">
      <c r="A481" s="156" t="s">
        <v>18685</v>
      </c>
      <c r="B481" s="156" t="s">
        <v>18952</v>
      </c>
      <c r="C481" s="156" t="s">
        <v>18952</v>
      </c>
      <c r="D481" s="156" t="s">
        <v>246</v>
      </c>
      <c r="E481" s="156" t="s">
        <v>18953</v>
      </c>
      <c r="F481" s="157" t="s">
        <v>12</v>
      </c>
      <c r="H481" s="284" t="s">
        <v>12313</v>
      </c>
      <c r="I481" s="284" t="s">
        <v>5457</v>
      </c>
      <c r="J481" s="156" t="str">
        <f t="shared" si="16"/>
        <v>NickelPT Zhongtsing New Energy</v>
      </c>
      <c r="K481" s="156" t="str">
        <f t="shared" si="17"/>
        <v>NickelPT Zhongtsing New Energy</v>
      </c>
    </row>
    <row r="482" spans="1:11">
      <c r="A482" s="156" t="s">
        <v>18685</v>
      </c>
      <c r="B482" s="156" t="s">
        <v>19253</v>
      </c>
      <c r="C482" s="156" t="s">
        <v>19253</v>
      </c>
      <c r="D482" s="156" t="s">
        <v>246</v>
      </c>
      <c r="E482" s="156" t="s">
        <v>19254</v>
      </c>
      <c r="F482" s="157" t="s">
        <v>12</v>
      </c>
      <c r="H482" s="284" t="s">
        <v>19216</v>
      </c>
      <c r="I482" s="284" t="s">
        <v>5431</v>
      </c>
      <c r="J482" s="156" t="str">
        <f t="shared" si="16"/>
        <v>NickelPT. Infei Metal Industry</v>
      </c>
      <c r="K482" s="156" t="str">
        <f t="shared" si="17"/>
        <v>NickelPT. Infei Metal Industry</v>
      </c>
    </row>
    <row r="483" spans="1:11">
      <c r="A483" s="156" t="s">
        <v>18685</v>
      </c>
      <c r="B483" s="156" t="s">
        <v>19255</v>
      </c>
      <c r="C483" s="156" t="s">
        <v>19255</v>
      </c>
      <c r="D483" s="156" t="s">
        <v>246</v>
      </c>
      <c r="E483" s="156" t="s">
        <v>19256</v>
      </c>
      <c r="F483" s="157" t="s">
        <v>12</v>
      </c>
      <c r="H483" s="284" t="s">
        <v>19216</v>
      </c>
      <c r="I483" s="284" t="s">
        <v>5431</v>
      </c>
      <c r="J483" s="156" t="str">
        <f t="shared" si="16"/>
        <v>NickelPT. Westrong Metal Industry</v>
      </c>
      <c r="K483" s="156" t="str">
        <f t="shared" si="17"/>
        <v>NickelPT. Westrong Metal Industry</v>
      </c>
    </row>
    <row r="484" spans="1:11">
      <c r="A484" s="156" t="s">
        <v>18685</v>
      </c>
      <c r="B484" s="156" t="s">
        <v>19284</v>
      </c>
      <c r="C484" s="156" t="s">
        <v>19284</v>
      </c>
      <c r="D484" s="156" t="s">
        <v>246</v>
      </c>
      <c r="E484" s="156" t="s">
        <v>19285</v>
      </c>
      <c r="F484" s="157" t="s">
        <v>12</v>
      </c>
      <c r="H484" s="284" t="s">
        <v>12313</v>
      </c>
      <c r="I484" s="284" t="s">
        <v>5457</v>
      </c>
      <c r="J484" s="156" t="str">
        <f t="shared" si="16"/>
        <v>NickelPT.NADESICO NICKEL INDUSTRY</v>
      </c>
      <c r="K484" s="156" t="str">
        <f t="shared" si="17"/>
        <v>NickelPT.NADESICO NICKEL INDUSTRY</v>
      </c>
    </row>
    <row r="485" spans="1:11">
      <c r="A485" s="156" t="s">
        <v>18685</v>
      </c>
      <c r="B485" s="156" t="s">
        <v>18954</v>
      </c>
      <c r="C485" s="156" t="s">
        <v>18955</v>
      </c>
      <c r="D485" s="156" t="s">
        <v>1679</v>
      </c>
      <c r="E485" s="156" t="s">
        <v>18956</v>
      </c>
      <c r="F485" s="157" t="s">
        <v>12</v>
      </c>
      <c r="H485" s="284" t="s">
        <v>19217</v>
      </c>
      <c r="I485" s="284" t="s">
        <v>9071</v>
      </c>
      <c r="J485" s="156" t="str">
        <f t="shared" si="16"/>
        <v>NickelTaganito HPAL Nickel Corp.</v>
      </c>
      <c r="K485" s="156" t="str">
        <f t="shared" si="17"/>
        <v>NickelTaganito HPAL Nickel Corp.</v>
      </c>
    </row>
    <row r="486" spans="1:11">
      <c r="A486" s="156" t="s">
        <v>18685</v>
      </c>
      <c r="B486" s="156" t="s">
        <v>18954</v>
      </c>
      <c r="C486" s="156" t="s">
        <v>18955</v>
      </c>
      <c r="D486" s="156" t="s">
        <v>1679</v>
      </c>
      <c r="E486" s="156" t="s">
        <v>19286</v>
      </c>
      <c r="F486" s="157" t="s">
        <v>12</v>
      </c>
      <c r="H486" s="284" t="s">
        <v>19217</v>
      </c>
      <c r="I486" s="284" t="s">
        <v>9071</v>
      </c>
      <c r="J486" s="156" t="str">
        <f t="shared" si="16"/>
        <v>NickelTaganito HPAL Nickel Corp.</v>
      </c>
      <c r="K486" s="156" t="str">
        <f t="shared" si="17"/>
        <v>NickelTaganito HPAL Nickel Corp.</v>
      </c>
    </row>
    <row r="487" spans="1:11">
      <c r="A487" s="156" t="s">
        <v>18685</v>
      </c>
      <c r="B487" s="156" t="s">
        <v>18955</v>
      </c>
      <c r="C487" s="156" t="s">
        <v>18955</v>
      </c>
      <c r="D487" s="156" t="s">
        <v>1679</v>
      </c>
      <c r="E487" s="156" t="s">
        <v>18956</v>
      </c>
      <c r="F487" s="157" t="s">
        <v>12</v>
      </c>
      <c r="H487" s="284" t="s">
        <v>19217</v>
      </c>
      <c r="I487" s="284" t="s">
        <v>9071</v>
      </c>
      <c r="J487" s="156" t="str">
        <f t="shared" si="16"/>
        <v>NickelTaganito HPAL Nickel Corporation (THPAL)</v>
      </c>
      <c r="K487" s="156" t="str">
        <f t="shared" si="17"/>
        <v>NickelTaganito HPAL Nickel Corporation (THPAL)</v>
      </c>
    </row>
    <row r="488" spans="1:11">
      <c r="A488" s="156" t="s">
        <v>18685</v>
      </c>
      <c r="B488" s="156" t="s">
        <v>18955</v>
      </c>
      <c r="C488" s="156" t="s">
        <v>18955</v>
      </c>
      <c r="D488" s="156" t="s">
        <v>1679</v>
      </c>
      <c r="E488" s="156" t="s">
        <v>19286</v>
      </c>
      <c r="F488" s="157" t="s">
        <v>12</v>
      </c>
      <c r="H488" s="284" t="s">
        <v>19217</v>
      </c>
      <c r="I488" s="284" t="s">
        <v>9071</v>
      </c>
      <c r="J488" s="156" t="str">
        <f t="shared" si="16"/>
        <v>NickelTaganito HPAL Nickel Corporation (THPAL)</v>
      </c>
      <c r="K488" s="156" t="str">
        <f t="shared" si="17"/>
        <v>NickelTaganito HPAL Nickel Corporation (THPAL)</v>
      </c>
    </row>
    <row r="489" spans="1:11">
      <c r="A489" s="156" t="s">
        <v>18685</v>
      </c>
      <c r="B489" s="156" t="s">
        <v>100</v>
      </c>
      <c r="C489" s="156" t="s">
        <v>100</v>
      </c>
      <c r="D489" s="156" t="s">
        <v>101</v>
      </c>
      <c r="E489" s="156" t="s">
        <v>19287</v>
      </c>
      <c r="F489" s="157" t="s">
        <v>12</v>
      </c>
      <c r="H489" s="284" t="s">
        <v>103</v>
      </c>
      <c r="I489" s="284" t="s">
        <v>104</v>
      </c>
      <c r="J489" s="156" t="str">
        <f t="shared" si="16"/>
        <v>NickelUmicore Finland Oy</v>
      </c>
      <c r="K489" s="156" t="str">
        <f t="shared" si="17"/>
        <v>NickelUmicore Finland Oy</v>
      </c>
    </row>
    <row r="490" spans="1:11">
      <c r="A490" s="156" t="s">
        <v>18685</v>
      </c>
      <c r="B490" s="156" t="s">
        <v>269</v>
      </c>
      <c r="C490" s="156" t="s">
        <v>269</v>
      </c>
      <c r="D490" s="156" t="s">
        <v>270</v>
      </c>
      <c r="E490" s="156" t="s">
        <v>19288</v>
      </c>
      <c r="F490" s="157" t="s">
        <v>12</v>
      </c>
      <c r="H490" s="284" t="s">
        <v>272</v>
      </c>
      <c r="I490" s="284" t="s">
        <v>273</v>
      </c>
      <c r="J490" s="156" t="str">
        <f t="shared" si="16"/>
        <v>NickelUmicore Olen</v>
      </c>
      <c r="K490" s="156" t="str">
        <f t="shared" si="17"/>
        <v>NickelUmicore Olen</v>
      </c>
    </row>
    <row r="491" spans="1:11">
      <c r="A491" s="156" t="s">
        <v>18685</v>
      </c>
      <c r="B491" s="156" t="s">
        <v>20020</v>
      </c>
      <c r="C491" s="156" t="s">
        <v>20020</v>
      </c>
      <c r="D491" s="156" t="s">
        <v>65</v>
      </c>
      <c r="E491" s="156" t="s">
        <v>20107</v>
      </c>
      <c r="F491" s="157" t="s">
        <v>12</v>
      </c>
      <c r="H491" s="284" t="s">
        <v>20022</v>
      </c>
      <c r="I491" s="284" t="s">
        <v>20023</v>
      </c>
      <c r="J491" s="156" t="str">
        <f t="shared" si="16"/>
        <v>NickelWanhua Chemical Hydrometallurgy Unit</v>
      </c>
      <c r="K491" s="156" t="str">
        <f t="shared" si="17"/>
        <v>NickelWanhua Chemical Hydrometallurgy Unit</v>
      </c>
    </row>
    <row r="492" spans="1:11">
      <c r="A492" s="156" t="s">
        <v>18685</v>
      </c>
      <c r="B492" s="156" t="s">
        <v>20024</v>
      </c>
      <c r="C492" s="156" t="s">
        <v>20024</v>
      </c>
      <c r="D492" s="156" t="s">
        <v>1820</v>
      </c>
      <c r="E492" s="156" t="s">
        <v>20108</v>
      </c>
      <c r="F492" s="157" t="s">
        <v>12</v>
      </c>
      <c r="H492" s="284" t="s">
        <v>20026</v>
      </c>
      <c r="I492" s="284" t="s">
        <v>12077</v>
      </c>
      <c r="J492" s="156" t="str">
        <f t="shared" si="16"/>
        <v>NickelZimbabwe Platinum Mines Private Limited</v>
      </c>
      <c r="K492" s="156" t="str">
        <f t="shared" si="17"/>
        <v>NickelZimbabwe Platinum Mines Private Limited</v>
      </c>
    </row>
    <row r="493" spans="1:11">
      <c r="A493" s="156" t="s">
        <v>18685</v>
      </c>
      <c r="B493" s="156" t="s">
        <v>20027</v>
      </c>
      <c r="C493" s="156" t="s">
        <v>20024</v>
      </c>
      <c r="D493" s="156" t="s">
        <v>1820</v>
      </c>
      <c r="E493" s="156" t="s">
        <v>20108</v>
      </c>
      <c r="F493" s="157" t="s">
        <v>12</v>
      </c>
      <c r="H493" s="284" t="s">
        <v>20026</v>
      </c>
      <c r="I493" s="284" t="s">
        <v>12077</v>
      </c>
      <c r="J493" s="156" t="str">
        <f t="shared" si="16"/>
        <v>NickelZIMPLATS</v>
      </c>
      <c r="K493" s="156" t="str">
        <f t="shared" si="17"/>
        <v>NickelZIMPLATS</v>
      </c>
    </row>
    <row r="494" spans="1:11">
      <c r="A494" s="156" t="s">
        <v>18685</v>
      </c>
      <c r="B494" s="156" t="s">
        <v>298</v>
      </c>
      <c r="J494" s="156" t="str">
        <f t="shared" si="16"/>
        <v>NickelSmelter not listed</v>
      </c>
      <c r="K494" s="156" t="str">
        <f t="shared" si="17"/>
        <v>NickelSmelter not listed</v>
      </c>
    </row>
    <row r="495" spans="1:11">
      <c r="A495" s="156" t="s">
        <v>18685</v>
      </c>
      <c r="B495" s="156" t="s">
        <v>45</v>
      </c>
      <c r="C495" s="156" t="s">
        <v>26</v>
      </c>
      <c r="J495" s="156" t="str">
        <f t="shared" si="16"/>
        <v>NickelSmelter not yet identified</v>
      </c>
      <c r="K495" s="15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Steve Arnold</cp:lastModifiedBy>
  <cp:revision/>
  <dcterms:created xsi:type="dcterms:W3CDTF">2010-06-21T21:00:23Z</dcterms:created>
  <dcterms:modified xsi:type="dcterms:W3CDTF">2026-02-26T11:58:23Z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